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S2rjd1sc3/h9WjRRsdpNR+RtE+f/+2MyRh/agW0gfeU0uyVYUsT03M37fBxkr40BwL7u2tUJoILDvWoL9mFUkQ==" workbookSaltValue="5OMvdM/NfSjez3exsdQh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M13" i="2"/>
  <c r="N13" i="2"/>
  <c r="AL11" i="11"/>
  <c r="AO12" i="11"/>
  <c r="AO12" i="17"/>
  <c r="AC10" i="11"/>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X20" i="20"/>
  <c r="O16" i="11"/>
  <c r="T20" i="20"/>
  <c r="I20" i="20"/>
  <c r="AD20" i="20"/>
  <c r="M20" i="20"/>
  <c r="W20" i="21"/>
  <c r="W20" i="20"/>
  <c r="AI20" i="20"/>
  <c r="AG20" i="20"/>
  <c r="AU20" i="20"/>
  <c r="Y20" i="20"/>
  <c r="O20" i="20"/>
  <c r="AH20" i="20"/>
  <c r="Q20" i="20"/>
  <c r="H20" i="20"/>
  <c r="N20" i="20"/>
  <c r="U12" i="11"/>
  <c r="R20" i="20"/>
  <c r="T20" i="21"/>
  <c r="AX20" i="20"/>
  <c r="Z20" i="20"/>
  <c r="F17" i="17" l="1"/>
  <c r="AQ17" i="17" s="1"/>
  <c r="B17" i="6"/>
  <c r="C17" i="6"/>
  <c r="AY18" i="8"/>
  <c r="AW18" i="21"/>
  <c r="AO16" i="11"/>
  <c r="AJ19" i="8"/>
  <c r="Y19" i="8"/>
  <c r="B16" i="6"/>
  <c r="Z19" i="8"/>
  <c r="Z13" i="17"/>
  <c r="H13" i="12"/>
  <c r="L12" i="14"/>
  <c r="BD12" i="8"/>
  <c r="H12" i="7" s="1"/>
  <c r="BG10" i="8"/>
  <c r="C19" i="3"/>
  <c r="F9" i="2"/>
  <c r="H12" i="2"/>
  <c r="M18" i="2"/>
  <c r="N18" i="2"/>
  <c r="B9" i="6"/>
  <c r="E11" i="6"/>
  <c r="F15" i="17"/>
  <c r="V10" i="21"/>
  <c r="C10" i="6"/>
  <c r="BE15" i="13"/>
  <c r="BA18" i="13"/>
  <c r="BD18" i="13" s="1"/>
  <c r="BG15" i="8"/>
  <c r="AO17" i="11"/>
  <c r="E15" i="6"/>
  <c r="BD15" i="8"/>
  <c r="H15" i="7" s="1"/>
  <c r="BE15" i="8"/>
  <c r="BG16" i="8"/>
  <c r="E18" i="2"/>
  <c r="AL15" i="11"/>
  <c r="L16" i="14"/>
  <c r="F15" i="11"/>
  <c r="F16" i="17"/>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B18" i="6"/>
  <c r="G19" i="7"/>
  <c r="F19" i="7"/>
  <c r="AL18" i="11"/>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X20" i="21"/>
  <c r="AH20" i="21"/>
  <c r="AE20" i="11"/>
  <c r="AB20" i="1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<sst xmlns="http://schemas.openxmlformats.org/spreadsheetml/2006/main" count="2102" uniqueCount="917">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</sst>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Oq83E8LW50kthblGHVgcYMGYkiVxKgbWKoX3eltdZm+soYcJifRAdyOFyHZ6aOpX4ghJA1H5wEID+0+pUCR+w==" saltValue="Sf7Dj8AEFUGz+D1KLMYI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68.964539007092199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283</v>
      </c>
      <c r="D16" s="224">
        <f>IF(ISNUMBER(IF(D_I="SI",Datos!I16,Datos!I16+Datos!AC16)),IF(D_I="SI",Datos!I16,Datos!I16+Datos!AC16)," - ")</f>
        <v>283</v>
      </c>
      <c r="E16" s="225">
        <f>IF(ISNUMBER(IF(D_I="SI",Datos!J16,Datos!J16+Datos!AD16)),IF(D_I="SI",Datos!J16,Datos!J16+Datos!AD16)," - ")</f>
        <v>272</v>
      </c>
      <c r="F16" s="225">
        <f>IF(ISNUMBER(IF(D_I="SI",Datos!K16,Datos!K16+Datos!AE16)),IF(D_I="SI",Datos!K16,Datos!K16+Datos!AE16)," - ")</f>
        <v>231</v>
      </c>
      <c r="G16" s="1033" t="str">
        <f>IF(Datos!E16&lt;&gt;"",Datos!E16,Datos!D16)</f>
        <v>04</v>
      </c>
      <c r="H16" s="226">
        <f>IF(ISNUMBER(IF(D_I="SI",Datos!L16,Datos!L16+Datos!AF16)),IF(D_I="SI",Datos!L16,Datos!L16+Datos!AF16)," - ")</f>
        <v>324</v>
      </c>
      <c r="I16" s="1043" t="str">
        <f>IF(ISNUMBER(Datos!AS16/Datos!BM16),Datos!AS16/Datos!BM16," - ")</f>
        <v xml:space="preserve"> - </v>
      </c>
      <c r="J16" s="1044">
        <f>IF(ISNUMBER(Datos!BY16/Datos!CN16),Datos!BY16/Datos!CN16," - ")</f>
        <v>0</v>
      </c>
      <c r="K16" s="229">
        <f t="shared" si="3"/>
        <v>0.14487632508833923</v>
      </c>
      <c r="L16" s="1024">
        <f>IF(ISNUMBER(NºAsuntos!I16/NºAsuntos!G16),(NºAsuntos!I16/NºAsuntos!G16)*11," - ")</f>
        <v>15.428571428571429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26</v>
      </c>
      <c r="F17" s="225">
        <f>IF(ISNUMBER(IF(D_I="SI",Datos!K17,Datos!K17+Datos!AE17)),IF(D_I="SI",Datos!K17,Datos!K17+Datos!AE17)," - ")</f>
        <v>22</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311</v>
      </c>
      <c r="D18" s="1048">
        <f>SUBTOTAL(9,D15:D17)</f>
        <v>311</v>
      </c>
      <c r="E18" s="1049">
        <f>SUBTOTAL(9,E15:E17)</f>
        <v>298</v>
      </c>
      <c r="F18" s="1049">
        <f>SUBTOTAL(9,F15:F17)</f>
        <v>253</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312</v>
      </c>
      <c r="D19" s="1070">
        <f>SUBTOTAL(9,D9:D18)</f>
        <v>312</v>
      </c>
      <c r="E19" s="1071">
        <f>SUBTOTAL(9,E9:E18)</f>
        <v>298</v>
      </c>
      <c r="F19" s="1071">
        <f>SUBTOTAL(9,F9:F18)</f>
        <v>254</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RhlDPFbY8Zs27RZLCux9DBKIjPohjXoGf91uSc6CvtEJEtnChAzMv3e9kZxoJV9jiuV1xqba4rGArTbwqyJCw==" saltValue="BirW+1T3CnsC3yePLArj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Msk8YxMHwiTEXpFuzHlhoixYKg83qjSadWz7i+auMaCb17OjItdrK8nTl4J7ow1MDYgJJmJ2irQjwcClFhchQ==" saltValue="RljM4RoAoRN6dxnG9o0f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0</v>
      </c>
      <c r="N10" s="180">
        <v>0</v>
      </c>
      <c r="O10" s="180">
        <v>0</v>
      </c>
      <c r="P10" s="180">
        <v>0</v>
      </c>
      <c r="Q10" s="180">
        <v>0</v>
      </c>
      <c r="R10" s="180">
        <v>0</v>
      </c>
      <c r="S10" s="180">
        <v>9</v>
      </c>
      <c r="T10" s="180">
        <v>1</v>
      </c>
      <c r="U10" s="180">
        <v>1</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1</v>
      </c>
      <c r="BB10" s="129">
        <f t="shared" si="0"/>
        <v>9</v>
      </c>
      <c r="BC10" s="125">
        <f t="shared" si="0"/>
        <v>0</v>
      </c>
      <c r="BD10" s="126">
        <f>IF(ISNUMBER(BA10/AZ10),BA10/AZ10," - ")</f>
        <v>1</v>
      </c>
      <c r="BE10" s="127">
        <f>IF(ISNUMBER(BB10/BA10),BB10/BA10, " - ")</f>
        <v>9</v>
      </c>
      <c r="BF10" s="127">
        <f>IF(ISNUMBER(BC10/BA10),BC10/BA10, " - ")</f>
        <v>0</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747</v>
      </c>
      <c r="J12" s="182">
        <v>205</v>
      </c>
      <c r="K12" s="182">
        <v>100</v>
      </c>
      <c r="L12" s="182">
        <v>852</v>
      </c>
      <c r="M12" s="182">
        <v>69</v>
      </c>
      <c r="N12" s="182">
        <v>16</v>
      </c>
      <c r="O12" s="180">
        <v>27</v>
      </c>
      <c r="P12" s="182">
        <v>8</v>
      </c>
      <c r="Q12" s="182">
        <v>3</v>
      </c>
      <c r="R12" s="182">
        <v>490</v>
      </c>
      <c r="S12" s="182">
        <v>850</v>
      </c>
      <c r="T12" s="182">
        <v>253</v>
      </c>
      <c r="U12" s="182">
        <v>159</v>
      </c>
      <c r="V12" s="182">
        <v>944</v>
      </c>
      <c r="W12" s="182">
        <v>84</v>
      </c>
      <c r="X12" s="188">
        <v>30</v>
      </c>
      <c r="Y12" s="190">
        <v>17</v>
      </c>
      <c r="Z12" s="180">
        <v>56</v>
      </c>
      <c r="AA12" s="180">
        <v>41</v>
      </c>
      <c r="AB12" s="180">
        <v>32</v>
      </c>
      <c r="AC12" s="182">
        <v>0</v>
      </c>
      <c r="AD12" s="182">
        <v>0</v>
      </c>
      <c r="AE12" s="182">
        <v>0</v>
      </c>
      <c r="AF12" s="188">
        <v>0</v>
      </c>
      <c r="AG12" s="201">
        <v>9</v>
      </c>
      <c r="AH12" s="182">
        <v>12</v>
      </c>
      <c r="AI12" s="182">
        <v>15</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859</v>
      </c>
      <c r="AZ12" s="127">
        <f t="shared" si="1"/>
        <v>265</v>
      </c>
      <c r="BA12" s="127">
        <f t="shared" si="1"/>
        <v>174</v>
      </c>
      <c r="BB12" s="127">
        <f t="shared" si="1"/>
        <v>950</v>
      </c>
      <c r="BC12" s="125">
        <f>IF(ISNUMBER(X12),X12," - ")</f>
        <v>30</v>
      </c>
      <c r="BD12" s="126">
        <f t="shared" si="2"/>
        <v>0.65660377358490563</v>
      </c>
      <c r="BE12" s="127">
        <f t="shared" si="3"/>
        <v>5.4597701149425291</v>
      </c>
      <c r="BF12" s="127">
        <f t="shared" si="4"/>
        <v>0.17241379310344829</v>
      </c>
      <c r="BG12" s="195">
        <f t="shared" si="5"/>
        <v>6.4597701149425291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748</v>
      </c>
      <c r="J13" s="183">
        <f t="shared" si="6"/>
        <v>205</v>
      </c>
      <c r="K13" s="183">
        <f t="shared" si="6"/>
        <v>101</v>
      </c>
      <c r="L13" s="183">
        <f t="shared" si="6"/>
        <v>852</v>
      </c>
      <c r="M13" s="183">
        <f t="shared" si="6"/>
        <v>69</v>
      </c>
      <c r="N13" s="183">
        <f t="shared" si="6"/>
        <v>16</v>
      </c>
      <c r="O13" s="183">
        <f t="shared" si="6"/>
        <v>27</v>
      </c>
      <c r="P13" s="183">
        <f t="shared" si="6"/>
        <v>8</v>
      </c>
      <c r="Q13" s="183">
        <f t="shared" si="6"/>
        <v>3</v>
      </c>
      <c r="R13" s="183">
        <f t="shared" si="6"/>
        <v>490</v>
      </c>
      <c r="S13" s="183">
        <f t="shared" si="6"/>
        <v>859</v>
      </c>
      <c r="T13" s="183">
        <f t="shared" si="6"/>
        <v>254</v>
      </c>
      <c r="U13" s="183">
        <f t="shared" si="6"/>
        <v>160</v>
      </c>
      <c r="V13" s="183">
        <f t="shared" si="6"/>
        <v>953</v>
      </c>
      <c r="W13" s="183">
        <f t="shared" si="6"/>
        <v>84</v>
      </c>
      <c r="X13" s="183">
        <f t="shared" si="6"/>
        <v>30</v>
      </c>
      <c r="Y13" s="183">
        <f t="shared" si="6"/>
        <v>17</v>
      </c>
      <c r="Z13" s="183">
        <f t="shared" si="6"/>
        <v>56</v>
      </c>
      <c r="AA13" s="183">
        <f t="shared" si="6"/>
        <v>41</v>
      </c>
      <c r="AB13" s="183">
        <f t="shared" si="6"/>
        <v>32</v>
      </c>
      <c r="AC13" s="183">
        <f t="shared" si="6"/>
        <v>0</v>
      </c>
      <c r="AD13" s="183">
        <f t="shared" si="6"/>
        <v>0</v>
      </c>
      <c r="AE13" s="183">
        <f t="shared" si="6"/>
        <v>0</v>
      </c>
      <c r="AF13" s="183">
        <f>SUBTOTAL(9,AF9:AF12)</f>
        <v>0</v>
      </c>
      <c r="AG13" s="183">
        <f t="shared" ref="AG13:AT13" si="7">SUBTOTAL(9,AG8:AG12)</f>
        <v>9</v>
      </c>
      <c r="AH13" s="183">
        <f t="shared" si="7"/>
        <v>12</v>
      </c>
      <c r="AI13" s="183">
        <f t="shared" si="7"/>
        <v>15</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868</v>
      </c>
      <c r="AZ13" s="183">
        <f>SUBTOTAL(9,AZ8:AZ12)</f>
        <v>266</v>
      </c>
      <c r="BA13" s="183">
        <f>SUBTOTAL(9,BA8:BA12)</f>
        <v>175</v>
      </c>
      <c r="BB13" s="183">
        <f>SUBTOTAL(9,BB8:BB12)</f>
        <v>959</v>
      </c>
      <c r="BC13" s="183">
        <f>SUBTOTAL(9,BC8:BC12)</f>
        <v>30</v>
      </c>
      <c r="BD13" s="204">
        <f>IF(ISNUMBER(BA13/AZ13),BA13/AZ13," - ")</f>
        <v>0.65789473684210531</v>
      </c>
      <c r="BE13" s="205">
        <f>IF(ISNUMBER(BB13/BA13),BB13/BA13, " - ")</f>
        <v>5.48</v>
      </c>
      <c r="BF13" s="205">
        <f>IF(ISNUMBER(BC13/BA13),BC13/BA13, " - ")</f>
        <v>0.17142857142857143</v>
      </c>
      <c r="BG13" s="206">
        <f>IF(ISNUMBER((AY13+AZ13)/BA13),(AY13+AZ13)/BA13," - ")</f>
        <v>6.48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283</v>
      </c>
      <c r="J16" s="182">
        <v>272</v>
      </c>
      <c r="K16" s="182">
        <v>231</v>
      </c>
      <c r="L16" s="182">
        <v>324</v>
      </c>
      <c r="M16" s="182">
        <v>52</v>
      </c>
      <c r="N16" s="182">
        <v>151</v>
      </c>
      <c r="O16" s="180">
        <v>0</v>
      </c>
      <c r="P16" s="182">
        <v>7</v>
      </c>
      <c r="Q16" s="182">
        <v>0</v>
      </c>
      <c r="R16" s="182">
        <v>110</v>
      </c>
      <c r="S16" s="182">
        <v>361</v>
      </c>
      <c r="T16" s="182">
        <v>229</v>
      </c>
      <c r="U16" s="182">
        <v>262</v>
      </c>
      <c r="V16" s="182">
        <v>328</v>
      </c>
      <c r="W16" s="182">
        <v>71</v>
      </c>
      <c r="X16" s="188">
        <v>163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361</v>
      </c>
      <c r="AZ16" s="127">
        <f t="shared" si="9"/>
        <v>229</v>
      </c>
      <c r="BA16" s="127">
        <f t="shared" si="9"/>
        <v>262</v>
      </c>
      <c r="BB16" s="127">
        <f t="shared" si="9"/>
        <v>328</v>
      </c>
      <c r="BC16" s="125">
        <f>IF(ISNUMBER(W16),W16," - ")</f>
        <v>71</v>
      </c>
      <c r="BD16" s="126">
        <f t="shared" ref="BD16" si="11">IF(ISNUMBER(BA16/AZ16),BA16/AZ16," - ")</f>
        <v>1.1441048034934498</v>
      </c>
      <c r="BE16" s="127">
        <f t="shared" ref="BE16" si="12">IF(ISNUMBER(BB16/BA16),BB16/BA16, " - ")</f>
        <v>1.251908396946565</v>
      </c>
      <c r="BF16" s="127">
        <f t="shared" ref="BF16" si="13">IF(ISNUMBER(BC16/BA16),BC16/BA16, " - ")</f>
        <v>0.27099236641221375</v>
      </c>
      <c r="BG16" s="195">
        <f t="shared" si="10"/>
        <v>2.2519083969465647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26</v>
      </c>
      <c r="K17" s="182">
        <v>22</v>
      </c>
      <c r="L17" s="182">
        <v>32</v>
      </c>
      <c r="M17" s="182">
        <v>1</v>
      </c>
      <c r="N17" s="182">
        <v>25</v>
      </c>
      <c r="O17" s="182">
        <v>0</v>
      </c>
      <c r="P17" s="182">
        <v>0</v>
      </c>
      <c r="Q17" s="182">
        <v>0</v>
      </c>
      <c r="R17" s="182">
        <v>0</v>
      </c>
      <c r="S17" s="182">
        <v>24</v>
      </c>
      <c r="T17" s="182">
        <v>19</v>
      </c>
      <c r="U17" s="182">
        <v>18</v>
      </c>
      <c r="V17" s="182">
        <v>25</v>
      </c>
      <c r="W17" s="182">
        <v>1</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19</v>
      </c>
      <c r="BA17" s="129">
        <f t="shared" si="14"/>
        <v>18</v>
      </c>
      <c r="BB17" s="129">
        <f t="shared" si="14"/>
        <v>25</v>
      </c>
      <c r="BC17" s="125">
        <f>IF(ISNUMBER(W17),W17," - ")</f>
        <v>1</v>
      </c>
      <c r="BD17" s="126">
        <f>IF(ISNUMBER(BA17/AZ17),BA17/AZ17," - ")</f>
        <v>0.94736842105263153</v>
      </c>
      <c r="BE17" s="127">
        <f>IF(ISNUMBER(BB17/BA17),BB17/BA17, " - ")</f>
        <v>1.3888888888888888</v>
      </c>
      <c r="BF17" s="127">
        <f>IF(ISNUMBER(BC17/BA17),BC17/BA17, " - ")</f>
        <v>5.5555555555555552E-2</v>
      </c>
      <c r="BG17" s="195">
        <f>IF(ISNUMBER((AY17+AZ17)/BA17),(AY17+AZ17)/BA17," - ")</f>
        <v>2.3888888888888888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311</v>
      </c>
      <c r="J18" s="183">
        <f t="shared" si="15"/>
        <v>298</v>
      </c>
      <c r="K18" s="183">
        <f t="shared" si="15"/>
        <v>253</v>
      </c>
      <c r="L18" s="183">
        <f t="shared" si="15"/>
        <v>356</v>
      </c>
      <c r="M18" s="183">
        <f t="shared" si="15"/>
        <v>53</v>
      </c>
      <c r="N18" s="183">
        <f t="shared" si="15"/>
        <v>176</v>
      </c>
      <c r="O18" s="183">
        <f t="shared" si="15"/>
        <v>0</v>
      </c>
      <c r="P18" s="183">
        <f t="shared" si="15"/>
        <v>7</v>
      </c>
      <c r="Q18" s="183">
        <f t="shared" si="15"/>
        <v>0</v>
      </c>
      <c r="R18" s="183">
        <f t="shared" si="15"/>
        <v>110</v>
      </c>
      <c r="S18" s="183">
        <f t="shared" si="15"/>
        <v>385</v>
      </c>
      <c r="T18" s="183">
        <f t="shared" si="15"/>
        <v>248</v>
      </c>
      <c r="U18" s="183">
        <f t="shared" si="15"/>
        <v>280</v>
      </c>
      <c r="V18" s="183">
        <f t="shared" si="15"/>
        <v>353</v>
      </c>
      <c r="W18" s="183">
        <f t="shared" si="15"/>
        <v>72</v>
      </c>
      <c r="X18" s="183">
        <f t="shared" si="15"/>
        <v>169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385</v>
      </c>
      <c r="AZ18" s="183">
        <f>SUBTOTAL(9,AZ14:AZ17)</f>
        <v>248</v>
      </c>
      <c r="BA18" s="183">
        <f>SUBTOTAL(9,BA14:BA17)</f>
        <v>280</v>
      </c>
      <c r="BB18" s="183">
        <f>SUBTOTAL(9,BB14:BB17)</f>
        <v>353</v>
      </c>
      <c r="BC18" s="183">
        <f>SUBTOTAL(9,BC14:BC17)</f>
        <v>72</v>
      </c>
      <c r="BD18" s="204">
        <f>IF(ISNUMBER(BA18/AZ18),BA18/AZ18," - ")</f>
        <v>1.1290322580645162</v>
      </c>
      <c r="BE18" s="205">
        <f>IF(ISNUMBER(BB18/BA18),BB18/BA18, " - ")</f>
        <v>1.2607142857142857</v>
      </c>
      <c r="BF18" s="205">
        <f>IF(ISNUMBER(BC18/BA18),BC18/BA18, " - ")</f>
        <v>0.25714285714285712</v>
      </c>
      <c r="BG18" s="206">
        <f>IF(ISNUMBER((AY18+AZ18)/BA18),(AY18+AZ18)/BA18," - ")</f>
        <v>2.2607142857142857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1059</v>
      </c>
      <c r="J19" s="134">
        <f t="shared" si="18"/>
        <v>503</v>
      </c>
      <c r="K19" s="134">
        <f t="shared" si="18"/>
        <v>354</v>
      </c>
      <c r="L19" s="134">
        <f t="shared" si="18"/>
        <v>1208</v>
      </c>
      <c r="M19" s="134">
        <f t="shared" si="18"/>
        <v>122</v>
      </c>
      <c r="N19" s="134">
        <f t="shared" si="18"/>
        <v>192</v>
      </c>
      <c r="O19" s="134">
        <f t="shared" si="18"/>
        <v>27</v>
      </c>
      <c r="P19" s="134">
        <f t="shared" si="18"/>
        <v>15</v>
      </c>
      <c r="Q19" s="134">
        <f t="shared" si="18"/>
        <v>3</v>
      </c>
      <c r="R19" s="134">
        <f t="shared" si="18"/>
        <v>600</v>
      </c>
      <c r="S19" s="134">
        <f t="shared" si="18"/>
        <v>1244</v>
      </c>
      <c r="T19" s="134">
        <f t="shared" si="18"/>
        <v>502</v>
      </c>
      <c r="U19" s="134">
        <f t="shared" si="18"/>
        <v>440</v>
      </c>
      <c r="V19" s="134">
        <f t="shared" si="18"/>
        <v>1306</v>
      </c>
      <c r="W19" s="134">
        <f t="shared" si="18"/>
        <v>156</v>
      </c>
      <c r="X19" s="134">
        <f t="shared" si="18"/>
        <v>199</v>
      </c>
      <c r="Y19" s="134">
        <f t="shared" si="18"/>
        <v>17</v>
      </c>
      <c r="Z19" s="134">
        <f t="shared" si="18"/>
        <v>56</v>
      </c>
      <c r="AA19" s="134">
        <f t="shared" si="18"/>
        <v>41</v>
      </c>
      <c r="AB19" s="134">
        <f t="shared" si="18"/>
        <v>32</v>
      </c>
      <c r="AC19" s="134">
        <f t="shared" si="18"/>
        <v>0</v>
      </c>
      <c r="AD19" s="134">
        <f t="shared" si="18"/>
        <v>0</v>
      </c>
      <c r="AE19" s="134">
        <f t="shared" si="18"/>
        <v>0</v>
      </c>
      <c r="AF19" s="134">
        <f t="shared" si="18"/>
        <v>0</v>
      </c>
      <c r="AG19" s="134">
        <f t="shared" si="18"/>
        <v>9</v>
      </c>
      <c r="AH19" s="134">
        <f t="shared" si="18"/>
        <v>12</v>
      </c>
      <c r="AI19" s="134">
        <f t="shared" si="18"/>
        <v>15</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1253</v>
      </c>
      <c r="AZ19" s="134">
        <f>SUBTOTAL(9,AZ9:AZ18)</f>
        <v>514</v>
      </c>
      <c r="BA19" s="134">
        <f>SUBTOTAL(9,BA9:BA18)</f>
        <v>455</v>
      </c>
      <c r="BB19" s="134">
        <f>SUBTOTAL(9,BB9:BB18)</f>
        <v>1312</v>
      </c>
      <c r="BC19" s="135">
        <f>SUBTOTAL(9,BC9:BC18)</f>
        <v>102</v>
      </c>
      <c r="BD19" s="212">
        <f>IF(ISNUMBER(BA19/AZ19),BA19/AZ19," - ")</f>
        <v>0.88521400778210113</v>
      </c>
      <c r="BE19" s="209">
        <f>IF(ISNUMBER(BB19/BA19),BB19/BA19, " - ")</f>
        <v>2.8835164835164835</v>
      </c>
      <c r="BF19" s="209">
        <f>IF(ISNUMBER(BC19/BA19),BC19/BA19, " - ")</f>
        <v>0.22417582417582418</v>
      </c>
      <c r="BG19" s="135">
        <f>IF(ISNUMBER((AY19+AZ19)/BA19),(AY19+AZ19)/BA19," - ")</f>
        <v>3.8835164835164835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HbYLNDPn6rCgjtSz2JZpcatxu/Lxi8SO0tsjidxZmXNdBUnoMpskscj3Zc8Bd00nNPXmzcRWnobHGxXtzAsw==" saltValue="hbRo3bGibFT7TvFuPmKb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8Y/2MlM4CzzkRuyzff1P1JDhKY0faC5vEF5ne9Y1C9qS/5BY1YhYlLIyITcsDLi7HNuf22IythfC5wbwFWx/g==" saltValue="cnlua9mG3auGu8N631YK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 VICENTE DE LA BARQUERA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490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69</v>
      </c>
      <c r="BD12" s="228">
        <f>IF(ISNUMBER(Datos!N12),Datos!N12," - ")</f>
        <v>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0.54022988505747127</v>
      </c>
      <c r="BH12" s="259">
        <f>IF(ISNUMBER(((IF(J_V="SI",Datos!L12/Datos!K12,(Datos!L12+Datos!AB12)/(Datos!K12+Datos!AA12)))*11)/factor_trimestre),((IF(J_V="SI",Datos!L12/Datos!K12,(Datos!L12+Datos!AB12)/(Datos!K12+Datos!AA12)))*11)/factor_trimestre," - ")</f>
        <v>18.808510638297872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1.0309278350515464E-2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56</v>
      </c>
      <c r="O13" s="899">
        <f t="shared" si="0"/>
        <v>0</v>
      </c>
      <c r="P13" s="899">
        <f t="shared" si="0"/>
        <v>0</v>
      </c>
      <c r="Q13" s="898">
        <f t="shared" si="0"/>
        <v>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v>
      </c>
      <c r="AD13" s="898">
        <f t="shared" si="1"/>
        <v>0</v>
      </c>
      <c r="AE13" s="898">
        <f t="shared" si="1"/>
        <v>0</v>
      </c>
      <c r="AF13" s="898">
        <f t="shared" si="1"/>
        <v>0</v>
      </c>
      <c r="AG13" s="898">
        <f t="shared" si="1"/>
        <v>0</v>
      </c>
      <c r="AH13" s="898">
        <f t="shared" si="1"/>
        <v>32</v>
      </c>
      <c r="AI13" s="898">
        <f t="shared" si="1"/>
        <v>0</v>
      </c>
      <c r="AJ13" s="898">
        <f t="shared" si="1"/>
        <v>0</v>
      </c>
      <c r="AK13" s="898">
        <f t="shared" si="1"/>
        <v>0</v>
      </c>
      <c r="AL13" s="898">
        <f t="shared" si="1"/>
        <v>0</v>
      </c>
      <c r="AM13" s="898">
        <f t="shared" si="1"/>
        <v>490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16</v>
      </c>
      <c r="BE13" s="898">
        <f t="shared" si="1"/>
        <v>0</v>
      </c>
      <c r="BF13" s="898">
        <f t="shared" si="1"/>
        <v>0</v>
      </c>
      <c r="BG13" s="898">
        <f>IF(ISNUMBER(Datos!K13/Datos!J13),Datos!K13/Datos!J13," - ")</f>
        <v>0.49268292682926829</v>
      </c>
      <c r="BH13" s="902">
        <f>IF(ISNUMBER(((Datos!L13/Datos!K13)*11)/factor_trimestre),((Datos!L13/Datos!K13)*11)/factor_trimestre," - ")</f>
        <v>25.306930693069308</v>
      </c>
      <c r="BI13" s="898">
        <f>IF(ISNUMBER('Resol  Asuntos'!D13/NºAsuntos!G13),'Resol  Asuntos'!D13/NºAsuntos!G13," - ")</f>
        <v>0.4859154929577465</v>
      </c>
      <c r="BJ13" s="898" t="str">
        <f>IF(ISNUMBER(Datos!CI13/Datos!CJ13),Datos!CI13/Datos!CJ13," - ")</f>
        <v xml:space="preserve"> - </v>
      </c>
      <c r="BK13" s="898">
        <f>SUBTOTAL(9,BK8:BK12)</f>
        <v>0</v>
      </c>
      <c r="BL13" s="898">
        <f>IF(ISNUMBER((I13-AB13+L13)/(F13)),(I13-AB13+L13)/(F13)," - ")</f>
        <v>-1</v>
      </c>
      <c r="BM13" s="903">
        <f>SUBTOTAL(9,BM9:BM12)</f>
        <v>1.0309278350515464E-2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283</v>
      </c>
      <c r="G16" s="597">
        <f>IF(ISNUMBER(IF(D_I="SI",Datos!I16,Datos!I16+Datos!AC16)),IF(D_I="SI",Datos!I16,Datos!I16+Datos!AC16)," - ")</f>
        <v>283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231</v>
      </c>
      <c r="AC16" s="225">
        <f>IF(ISNUMBER(Datos!Q16),Datos!Q16," - ")</f>
        <v>0</v>
      </c>
      <c r="AD16" s="333"/>
      <c r="AE16" s="483"/>
      <c r="AF16" s="595">
        <f>IF(ISNUMBER(IF(D_I="SI",Datos!L16,Datos!L16+Datos!AF16)),IF(D_I="SI",Datos!L16,Datos!L16+Datos!AF16)," - ")</f>
        <v>324</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151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0.84926470588235292</v>
      </c>
      <c r="BH16" s="259">
        <f>IF(ISNUMBER(((IF(D_I="SI",Datos!L16/Datos!K16,(Datos!L16+Datos!AF16)/(Datos!K16+Datos!AE16)))*11)/factor_trimestre),((IF(D_I="SI",Datos!L16/Datos!K16,(Datos!L16+Datos!AF16)/(Datos!K16+Datos!AE16)))*11)/factor_trimestre," - ")</f>
        <v>4.2077922077922079</v>
      </c>
      <c r="BI16" s="242">
        <f>IF(ISNUMBER('Resol  Asuntos'!D16/NºAsuntos!G16),'Resol  Asuntos'!D16/NºAsuntos!G16," - ")</f>
        <v>0.22510822510822512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0.84615384615384615</v>
      </c>
      <c r="BH17" s="259">
        <f>IF(ISNUMBER(((IF(D_I="SI",Datos!L17/Datos!K17,(Datos!L17+Datos!AF17)/(Datos!K17+Datos!AE17)))*11)/factor_trimestre),((IF(D_I="SI",Datos!L17/Datos!K17,(Datos!L17+Datos!AF17)/(Datos!K17+Datos!AE17)))*11)/factor_trimestre," - ")</f>
        <v>4.3636363636363642</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283</v>
      </c>
      <c r="G18" s="897">
        <f>SUBTOTAL(9,G15:G17)</f>
        <v>311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253</v>
      </c>
      <c r="AC18" s="898">
        <f t="shared" si="4"/>
        <v>0</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110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176</v>
      </c>
      <c r="BE18" s="898">
        <f t="shared" si="4"/>
        <v>0</v>
      </c>
      <c r="BF18" s="898">
        <f t="shared" si="4"/>
        <v>0</v>
      </c>
      <c r="BG18" s="898">
        <f>IF(ISNUMBER(Datos!K18/Datos!J18),Datos!K18/Datos!J18," - ")</f>
        <v>0.84899328859060408</v>
      </c>
      <c r="BH18" s="902">
        <f>IF(ISNUMBER(((Datos!L18/Datos!K18)*11)/factor_trimestre),((Datos!L18/Datos!K18)*11)/factor_trimestre," - ")</f>
        <v>4.2213438735177871</v>
      </c>
      <c r="BI18" s="898">
        <f>SUBTOTAL(9,BI15:BI17)</f>
        <v>0.27056277056277056</v>
      </c>
      <c r="BJ18" s="898">
        <f>SUBTOTAL(9,BJ15:BJ17)</f>
        <v>0</v>
      </c>
      <c r="BK18" s="898">
        <f>SUBTOTAL(9,BK15:BK17)</f>
        <v>0</v>
      </c>
      <c r="BL18" s="898">
        <f>IF(ISNUMBER((I18-AB18+L18)/(F18)),(I18-AB18+L18)/(F18)," - ")</f>
        <v>-0.89399293286219084</v>
      </c>
      <c r="BM18" s="904">
        <f>IF(ISNUMBER((Datos!P18-Datos!Q18)/(Datos!R18-Datos!P18+Datos!Q18)),(Datos!P18-Datos!Q18)/(Datos!R18-Datos!P18+Datos!Q18)," - ")</f>
        <v>6.7961165048543687E-2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284</v>
      </c>
      <c r="G19" s="819">
        <f t="shared" si="6"/>
        <v>312</v>
      </c>
      <c r="H19" s="821">
        <f t="shared" si="6"/>
        <v>0</v>
      </c>
      <c r="I19" s="819">
        <f t="shared" si="6"/>
        <v>0</v>
      </c>
      <c r="J19" s="821">
        <f t="shared" si="6"/>
        <v>0</v>
      </c>
      <c r="K19" s="821">
        <f t="shared" si="6"/>
        <v>0</v>
      </c>
      <c r="L19" s="880">
        <f t="shared" si="6"/>
        <v>0</v>
      </c>
      <c r="M19" s="880">
        <f t="shared" si="6"/>
        <v>0</v>
      </c>
      <c r="N19" s="880">
        <f t="shared" si="6"/>
        <v>56</v>
      </c>
      <c r="O19" s="880">
        <f t="shared" si="6"/>
        <v>0</v>
      </c>
      <c r="P19" s="880">
        <f t="shared" si="6"/>
        <v>0</v>
      </c>
      <c r="Q19" s="821">
        <f t="shared" si="6"/>
        <v>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254</v>
      </c>
      <c r="AC19" s="820">
        <f t="shared" si="7"/>
        <v>3</v>
      </c>
      <c r="AD19" s="820">
        <f t="shared" si="7"/>
        <v>0</v>
      </c>
      <c r="AE19" s="820">
        <f t="shared" si="7"/>
        <v>0</v>
      </c>
      <c r="AF19" s="827">
        <f t="shared" si="7"/>
        <v>356</v>
      </c>
      <c r="AG19" s="827">
        <f t="shared" si="7"/>
        <v>0</v>
      </c>
      <c r="AH19" s="827">
        <f t="shared" si="7"/>
        <v>32</v>
      </c>
      <c r="AI19" s="827">
        <f t="shared" si="7"/>
        <v>0</v>
      </c>
      <c r="AJ19" s="820">
        <f t="shared" si="7"/>
        <v>0</v>
      </c>
      <c r="AK19" s="827">
        <f t="shared" si="7"/>
        <v>0</v>
      </c>
      <c r="AL19" s="827">
        <f t="shared" si="7"/>
        <v>0</v>
      </c>
      <c r="AM19" s="827">
        <f t="shared" si="7"/>
        <v>600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122</v>
      </c>
      <c r="BD19" s="819">
        <f t="shared" si="7"/>
        <v>192</v>
      </c>
      <c r="BE19" s="819">
        <f t="shared" si="7"/>
        <v>0</v>
      </c>
      <c r="BF19" s="829">
        <f t="shared" si="7"/>
        <v>0</v>
      </c>
      <c r="BG19" s="914">
        <f>IF(ISNUMBER(Datos!K19/Datos!J19),Datos!K19/Datos!J19," - ")</f>
        <v>0.70377733598409542</v>
      </c>
      <c r="BH19" s="914">
        <f>IF(ISNUMBER(((Datos!L19/Datos!K19)*11)/factor_trimestre),((Datos!L19/Datos!K19)*11)/factor_trimestre," - ")</f>
        <v>10.23728813559322</v>
      </c>
      <c r="BI19" s="812">
        <f>IF(ISNUMBER(Datos!J19/Datos!I19),Datos!J19/Datos!I19," - ")</f>
        <v>0.4749763928234183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-0.89436619718309862</v>
      </c>
      <c r="BM19" s="888">
        <f>IF(ISNUMBER((Datos!P19-Datos!Q19+R19)/(Datos!R19-Datos!P19+Datos!Q19-R19)),(Datos!P19-Datos!Q19+R19)/(Datos!R19-Datos!P19+Datos!Q19-R19)," - ")</f>
        <v>2.0408163265306121E-2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162.81277591147446</v>
      </c>
      <c r="G21" s="551">
        <f>IF(ISNUMBER(STDEV(G8:G18)),STDEV(G8:G18),"-")</f>
        <v>157.89300174485251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128.68877184898454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31.979159880563884</v>
      </c>
      <c r="BD21" s="550"/>
      <c r="BE21" s="550">
        <f>IF(ISNUMBER(STDEV(BE8:BE18)),STDEV(BE8:BE18),"-")</f>
        <v>0</v>
      </c>
      <c r="BF21" s="555">
        <f>IF(ISNUMBER(STDEV(BF8:BF18)),STDEV(BF8:BF18),"-")</f>
        <v>0</v>
      </c>
      <c r="BG21" s="774">
        <f>IF(ISNUMBER(STDEV(BG8:BG18)),STDEV(BG8:BG18),"-")</f>
        <v>0.18244926506587392</v>
      </c>
      <c r="BH21" s="775">
        <f>IF(ISNUMBER(STDEV(BH8:BH18)),STDEV(BH8:BH18),"-")</f>
        <v>10.089697015697116</v>
      </c>
      <c r="BI21" s="248">
        <f>IF(ISNUMBER(STDEV(BI8:BI18)),STDEV(BI8:BI18),"-")</f>
        <v>0.18106590549862381</v>
      </c>
      <c r="BJ21" s="229" t="str">
        <f>IF(ISNUMBER(BL21/BM21),BL21/BM21," - ")</f>
        <v xml:space="preserve"> - </v>
      </c>
      <c r="BK21" s="574"/>
      <c r="BL21" s="558">
        <f>IF(ISNUMBER(STDEV(BL8:BL18)),STDEV(BL8:BL18),"-")</f>
        <v>7.4958316026842484E-2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dcYgbUZ1ezC21uozxHw+jG7wevRu+Yr+V/i3+kEUXCMAoA6IPiUK17yb51Mj8ztRTasArL7YhJ1of8CHn99Iw==" saltValue="P9LxlYwXbx4XNuaj0rcT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 VICENTE DE LA BARQUERA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v>
      </c>
      <c r="AA12" s="331" t="str">
        <f>IF(ISNUMBER(IF(J_V="SI",Datos!L12,Datos!L12+Datos!AB12)-IF(Monitorios="SI",Datos!CD12,0)),
                          IF(J_V="SI",Datos!L12,Datos!L12+Datos!AB12)-IF(Monitorios="SI",Datos!CD12,0),
                          " - ")</f>
        <v xml:space="preserve"> - </v>
      </c>
      <c r="AB12" s="333"/>
      <c r="AC12" s="333"/>
      <c r="AD12" s="483"/>
      <c r="AE12" s="483">
        <f>IF(ISNUMBER(Datos!R12),Datos!R12," - ")</f>
        <v>490</v>
      </c>
      <c r="AF12" s="228" t="str">
        <f>IF(ISNUMBER(Datos!BV12),Datos!BV12," - ")</f>
        <v xml:space="preserve"> - </v>
      </c>
      <c r="AG12" s="224" t="str">
        <f>IF(ISNUMBER(Datos!DV12),Datos!DV12," - ")</f>
        <v xml:space="preserve"> - </v>
      </c>
      <c r="AH12" s="297"/>
      <c r="AI12" s="226"/>
      <c r="AJ12" s="224">
        <f>IF(ISNUMBER(Datos!M12),Datos!M12," - ")</f>
        <v>69</v>
      </c>
      <c r="AK12" s="228">
        <f>IF(ISNUMBER(Datos!N12),Datos!N12," - ")</f>
        <v>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18.808510638297872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1.0309278350515464E-2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v>
      </c>
      <c r="AA13" s="899">
        <f t="shared" si="2"/>
        <v>0</v>
      </c>
      <c r="AB13" s="899">
        <f t="shared" si="2"/>
        <v>0</v>
      </c>
      <c r="AC13" s="899">
        <f t="shared" si="2"/>
        <v>0</v>
      </c>
      <c r="AD13" s="899">
        <f t="shared" si="2"/>
        <v>0</v>
      </c>
      <c r="AE13" s="899">
        <f t="shared" si="2"/>
        <v>490</v>
      </c>
      <c r="AF13" s="907">
        <f t="shared" si="2"/>
        <v>0</v>
      </c>
      <c r="AG13" s="907">
        <f t="shared" si="2"/>
        <v>0</v>
      </c>
      <c r="AH13" s="907">
        <f t="shared" si="2"/>
        <v>0</v>
      </c>
      <c r="AI13" s="907">
        <f t="shared" si="2"/>
        <v>0</v>
      </c>
      <c r="AJ13" s="907">
        <f t="shared" si="2"/>
        <v>69</v>
      </c>
      <c r="AK13" s="907">
        <f t="shared" si="2"/>
        <v>16</v>
      </c>
      <c r="AL13" s="907">
        <f t="shared" si="2"/>
        <v>0</v>
      </c>
      <c r="AM13" s="907">
        <f t="shared" si="2"/>
        <v>0</v>
      </c>
      <c r="AN13" s="907">
        <f t="shared" si="2"/>
        <v>0</v>
      </c>
      <c r="AO13" s="903">
        <f>IF(ISNUMBER(((NºAsuntos!I13/NºAsuntos!G13)*11)/factor_trimestre),((NºAsuntos!I13/NºAsuntos!G13)*11)/factor_trimestre," - ")</f>
        <v>18.676056338028168</v>
      </c>
      <c r="AP13" s="909" t="str">
        <f>IF(ISNUMBER(Datos!CI13/Datos!CJ13),Datos!CI13/Datos!CJ13," - ")</f>
        <v xml:space="preserve"> - </v>
      </c>
      <c r="AQ13" s="927">
        <f t="shared" ref="AQ13:AV13" si="3">SUBTOTAL(9,AQ9:AQ12)</f>
        <v>0</v>
      </c>
      <c r="AR13" s="927">
        <f t="shared" si="3"/>
        <v>1.0309278350515464E-2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283</v>
      </c>
      <c r="G16" s="224">
        <f>IF(ISNUMBER(IF(D_I="SI",Datos!I16,Datos!I16+Datos!AC16)),IF(D_I="SI",Datos!I16,Datos!I16+Datos!AC16)," - ")</f>
        <v>283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231</v>
      </c>
      <c r="Z16" s="618">
        <f>IF(ISNUMBER(Datos!Q16),Datos!Q16," - ")</f>
        <v>0</v>
      </c>
      <c r="AA16" s="331">
        <f>IF(ISNUMBER(IF(D_I="SI",Datos!L16,Datos!L16+Datos!AF16)),IF(D_I="SI",Datos!L16,Datos!L16+Datos!AF16)," - ")</f>
        <v>324</v>
      </c>
      <c r="AB16" s="333"/>
      <c r="AC16" s="333"/>
      <c r="AD16" s="483"/>
      <c r="AE16" s="483">
        <f>IF(ISNUMBER(Datos!R16),Datos!R16," - ")</f>
        <v>110</v>
      </c>
      <c r="AF16" s="228" t="str">
        <f>IF(ISNUMBER(Datos!BV16),Datos!BV16," - ")</f>
        <v xml:space="preserve"> - </v>
      </c>
      <c r="AG16" s="224"/>
      <c r="AH16" s="297"/>
      <c r="AI16" s="226"/>
      <c r="AJ16" s="224">
        <f>IF(ISNUMBER(Datos!M16),Datos!M16," - ")</f>
        <v>52</v>
      </c>
      <c r="AK16" s="228">
        <f>IF(ISNUMBER(Datos!N16),Datos!N16," - ")</f>
        <v>151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4.2077922077922079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4.3636363636363642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283</v>
      </c>
      <c r="G18" s="897">
        <f>SUBTOTAL(9,G15:G17)</f>
        <v>311</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253</v>
      </c>
      <c r="Z18" s="931">
        <f t="shared" si="5"/>
        <v>0</v>
      </c>
      <c r="AA18" s="931">
        <f t="shared" si="5"/>
        <v>356</v>
      </c>
      <c r="AB18" s="931">
        <f t="shared" si="5"/>
        <v>0</v>
      </c>
      <c r="AC18" s="931">
        <f t="shared" si="5"/>
        <v>0</v>
      </c>
      <c r="AD18" s="931">
        <f t="shared" si="5"/>
        <v>0</v>
      </c>
      <c r="AE18" s="931">
        <f t="shared" si="5"/>
        <v>110</v>
      </c>
      <c r="AF18" s="931">
        <f t="shared" si="5"/>
        <v>0</v>
      </c>
      <c r="AG18" s="931">
        <f t="shared" si="5"/>
        <v>0</v>
      </c>
      <c r="AH18" s="931">
        <f t="shared" si="5"/>
        <v>0</v>
      </c>
      <c r="AI18" s="931">
        <f t="shared" si="5"/>
        <v>0</v>
      </c>
      <c r="AJ18" s="931">
        <f t="shared" si="5"/>
        <v>53</v>
      </c>
      <c r="AK18" s="931">
        <f t="shared" si="5"/>
        <v>176</v>
      </c>
      <c r="AL18" s="931">
        <f t="shared" si="5"/>
        <v>0</v>
      </c>
      <c r="AM18" s="931">
        <f t="shared" si="5"/>
        <v>0</v>
      </c>
      <c r="AN18" s="931">
        <f t="shared" si="5"/>
        <v>0</v>
      </c>
      <c r="AO18" s="933">
        <f>IF(ISNUMBER(((NºAsuntos!I18/NºAsuntos!G18)*11)/factor_trimestre),((NºAsuntos!I18/NºAsuntos!G18)*11)/factor_trimestre," - ")</f>
        <v>4.2213438735177871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284</v>
      </c>
      <c r="G19" s="819">
        <f t="shared" si="7"/>
        <v>312</v>
      </c>
      <c r="H19" s="820">
        <f t="shared" si="7"/>
        <v>0</v>
      </c>
      <c r="I19" s="819">
        <f t="shared" si="7"/>
        <v>0</v>
      </c>
      <c r="J19" s="821">
        <f t="shared" si="7"/>
        <v>0</v>
      </c>
      <c r="K19" s="819">
        <f t="shared" si="7"/>
        <v>0</v>
      </c>
      <c r="L19" s="822">
        <f t="shared" si="7"/>
        <v>0</v>
      </c>
      <c r="M19" s="819">
        <f t="shared" si="7"/>
        <v>0</v>
      </c>
      <c r="N19" s="820">
        <f t="shared" si="7"/>
        <v>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254</v>
      </c>
      <c r="Z19" s="826">
        <f t="shared" si="8"/>
        <v>3</v>
      </c>
      <c r="AA19" s="827">
        <f t="shared" si="8"/>
        <v>356</v>
      </c>
      <c r="AB19" s="827">
        <f t="shared" si="8"/>
        <v>0</v>
      </c>
      <c r="AC19" s="827">
        <f t="shared" si="8"/>
        <v>0</v>
      </c>
      <c r="AD19" s="828">
        <f t="shared" si="8"/>
        <v>0</v>
      </c>
      <c r="AE19" s="828">
        <f t="shared" si="8"/>
        <v>600</v>
      </c>
      <c r="AF19" s="829">
        <f t="shared" si="8"/>
        <v>0</v>
      </c>
      <c r="AG19" s="830">
        <f t="shared" si="8"/>
        <v>0</v>
      </c>
      <c r="AH19" s="831">
        <f t="shared" si="8"/>
        <v>0</v>
      </c>
      <c r="AI19" s="829">
        <f t="shared" si="8"/>
        <v>0</v>
      </c>
      <c r="AJ19" s="819">
        <f t="shared" si="8"/>
        <v>122</v>
      </c>
      <c r="AK19" s="819">
        <f t="shared" si="8"/>
        <v>192</v>
      </c>
      <c r="AL19" s="819">
        <f t="shared" si="8"/>
        <v>0</v>
      </c>
      <c r="AM19" s="832">
        <f t="shared" si="8"/>
        <v>0</v>
      </c>
      <c r="AN19" s="822">
        <f>IF(ISNUMBER(Datos!K19/Datos!J19),Datos!K19/Datos!J19," - ")</f>
        <v>0.70377733598409542</v>
      </c>
      <c r="AO19" s="822">
        <f>IF(ISNUMBER(FIND("06",Criterios!A8,1)),(IF(ISNUMBER(((Datos!R19/Datos!Q19)*11)/factor_trimestre),((Datos!R19/Datos!Q19)*11)/factor_trimestre," - ")),(IF(ISNUMBER(((Datos!L19/Datos!K19)*11)/factor_trimestre),((Datos!L19/Datos!K19)*11)/factor_trimestre," - ")))</f>
        <v>10.23728813559322</v>
      </c>
      <c r="AP19" s="833" t="str">
        <f>IF(ISNUMBER(Datos!CI19/Datos!CJ19),Datos!CI19/Datos!CJ19," - ")</f>
        <v xml:space="preserve"> - </v>
      </c>
      <c r="AQ19" s="833">
        <f>IF(OR(ISNUMBER(FIND("01",Criterios!A8,1)),ISNUMBER(FIND("02",Criterios!A8,1)),ISNUMBER(FIND("03",Criterios!A8,1)),ISNUMBER(FIND("04",Criterios!A8,1))),(J19-Y19+K19)/(F19-K19),(I19-Y19+K19)/(F19-K19))</f>
        <v>-0.89436619718309862</v>
      </c>
      <c r="AR19" s="833">
        <f>IF(ISNUMBER((Datos!P19-Datos!Q19+O19)/(Datos!R19-Datos!P19+Datos!Q19-O19)),(Datos!P19-Datos!Q19+O19)/(Datos!R19-Datos!P19+Datos!Q19-O19)," - ")</f>
        <v>2.0408163265306121E-2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162.81277591147446</v>
      </c>
      <c r="G21" s="551">
        <f>IF(ISNUMBER(STDEV(G8:G18)),STDEV(G8:G18),"-")</f>
        <v>157.89300174485251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31.979159880563884</v>
      </c>
      <c r="AK21" s="251"/>
      <c r="AL21" s="251">
        <f>IF(ISNUMBER(STDEV(AL8:AL18)),STDEV(AL8:AL18),"-")</f>
        <v>0</v>
      </c>
      <c r="AM21" s="253">
        <f>IF(ISNUMBER(STDEV(AM8:AM18)),STDEV(AM8:AM18),"-")</f>
        <v>0</v>
      </c>
      <c r="AN21" s="538">
        <f>IF(ISNUMBER(STDEV(AN8:AN18)),STDEV(AN8:AN18),"-")</f>
        <v>0</v>
      </c>
      <c r="AO21" s="539">
        <f>IF(ISNUMBER(STDEV(AO8:AO18)),STDEV(AO8:AO18),"-")</f>
        <v>8.1953636230292268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tps8bbVaG9RntW7dYPmFwnW9gHCIwTgdKDzdkd4ZBeisi5iCnZw47qyOGhjGpELqQrL/CnsOv5YQECDXdR2xQ==" saltValue="4APRcvbQbhGGLLn83JCR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06XYHGu6cFSVqTHhxVDG5bzJ/BVIJbnEcsp9t4UM5e5weotAn2LRY/+vYWdtcHsD+m9ONQorWdXMmnlzzh2KA==" saltValue="1WCajOnDzBkpf7wC2ZHs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1+WQEpoT/6TF8hhpDHe5bY4EYUtEQBF0G1F0oNpkOG9mC5D76IQPZPLxYOTRISfSMJeACiX2OD/tjPa+Zqrww==" saltValue="0RYGrkYM8xUMF3pnio48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 VICENTE DE LA BARQUERA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0.4859154929577465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0.34359414015402662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ZjUU5McvxOo5NdEDvBI5gbFu8r+8xl3RiNjTn7F3mcxvVPhm6IjSrODLOuZAbO3emi/hI4piZE37vOVfcireQ==" saltValue="rrnNXDiuDlB1O1XjxIF9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anbmzj1YjOV391NuPiJuXoQisczV2BViGkJUs8m7jESHzN3rltq1mqNnZdd8/NwIAQ5ff3l4t+lpBGUjqqQbQ==" saltValue="WNejboPjIuZY81mX37xP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 VICENTE DE LA BARQUERA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764</v>
      </c>
      <c r="D12" s="403">
        <f>IF(ISNUMBER(C12/Datos!BH12),C12/Datos!BH12," - ")</f>
        <v>764</v>
      </c>
      <c r="E12" s="402">
        <f>IF(ISNUMBER(IF(J_V="SI",Datos!J12,Datos!J12+Datos!Z12)),IF(J_V="SI",Datos!J12,Datos!J12+Datos!Z12)," - ")</f>
        <v>261</v>
      </c>
      <c r="F12" s="403">
        <f>IF(ISNUMBER(E12/B12),E12/B12," - ")</f>
        <v>261</v>
      </c>
      <c r="G12" s="402">
        <f>IF(ISNUMBER(IF(J_V="SI",Datos!K12,Datos!K12+Datos!AA12)),IF(J_V="SI",Datos!K12,Datos!K12+Datos!AA12)," - ")</f>
        <v>141</v>
      </c>
      <c r="H12" s="403">
        <f>IF(ISNUMBER(G12/B12),G12/B12," - ")</f>
        <v>141</v>
      </c>
      <c r="I12" s="402">
        <f>IF(ISNUMBER(IF(J_V="SI",Datos!L12,Datos!L12+Datos!AB12)),IF(J_V="SI",Datos!L12,Datos!L12+Datos!AB12)," - ")</f>
        <v>884</v>
      </c>
      <c r="J12" s="403">
        <f>IF(ISNUMBER(I12/B12),I12/B12," - ")</f>
        <v>884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765</v>
      </c>
      <c r="D13" s="849" t="str">
        <f>IF(ISNUMBER(C13/Datos!BI13),C13/Datos!BI13," - ")</f>
        <v xml:space="preserve"> - </v>
      </c>
      <c r="E13" s="848">
        <f>SUBTOTAL(9,E8:E12)</f>
        <v>261</v>
      </c>
      <c r="F13" s="849">
        <f>IF(ISNUMBER(E13/B13),E13/B13," - ")</f>
        <v>261</v>
      </c>
      <c r="G13" s="848">
        <f>SUBTOTAL(9,G8:G12)</f>
        <v>142</v>
      </c>
      <c r="H13" s="849">
        <f>IF(ISNUMBER(G13/B13),G13/B13," - ")</f>
        <v>142</v>
      </c>
      <c r="I13" s="848">
        <f>SUBTOTAL(9,I8:I12)</f>
        <v>884</v>
      </c>
      <c r="J13" s="849">
        <f>IF(ISNUMBER(I13/B13),I13/B13," - ")</f>
        <v>884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283</v>
      </c>
      <c r="D16" s="403">
        <f>IF(ISNUMBER(C16/Datos!BH16),C16/Datos!BH16," - ")</f>
        <v>283</v>
      </c>
      <c r="E16" s="402">
        <f>IF(ISNUMBER(IF(D_I="SI",Datos!J16,Datos!J16+Datos!AD16)),IF(D_I="SI",Datos!J16,Datos!J16+Datos!AD16)," - ")</f>
        <v>272</v>
      </c>
      <c r="F16" s="403">
        <f>IF(ISNUMBER(E16/B16),E16/B16," - ")</f>
        <v>272</v>
      </c>
      <c r="G16" s="402">
        <f>IF(ISNUMBER(IF(D_I="SI",Datos!K16,Datos!K16+Datos!AE16)),IF(D_I="SI",Datos!K16,Datos!K16+Datos!AE16)," - ")</f>
        <v>231</v>
      </c>
      <c r="H16" s="403">
        <f>IF(ISNUMBER(G16/B16),G16/B16," - ")</f>
        <v>231</v>
      </c>
      <c r="I16" s="402">
        <f>IF(ISNUMBER(IF(D_I="SI",Datos!L16,Datos!L16+Datos!AF16)),IF(D_I="SI",Datos!L16,Datos!L16+Datos!AF16)," - ")</f>
        <v>324</v>
      </c>
      <c r="J16" s="403">
        <f>IF(ISNUMBER(I16/B16),I16/B16," - ")</f>
        <v>324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26</v>
      </c>
      <c r="F17" s="403">
        <f>IF(ISNUMBER(E17/B17),E17/B17," - ")</f>
        <v>26</v>
      </c>
      <c r="G17" s="402">
        <f>IF(ISNUMBER(IF(D_I="SI",Datos!K17,Datos!K17+Datos!AE17)),IF(D_I="SI",Datos!K17,Datos!K17+Datos!AE17)," - ")</f>
        <v>22</v>
      </c>
      <c r="H17" s="403">
        <f>IF(ISNUMBER(G17/B17),G17/B17," - ")</f>
        <v>22</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311</v>
      </c>
      <c r="D18" s="849" t="str">
        <f>IF(ISNUMBER(C18/Datos!BI18),C18/Datos!BI18," - ")</f>
        <v xml:space="preserve"> - </v>
      </c>
      <c r="E18" s="848">
        <f>SUBTOTAL(9,E14:E17)</f>
        <v>298</v>
      </c>
      <c r="F18" s="849">
        <f>IF(ISNUMBER(E18/B18),E18/B18," - ")</f>
        <v>298</v>
      </c>
      <c r="G18" s="848">
        <f>SUBTOTAL(9,G14:G17)</f>
        <v>253</v>
      </c>
      <c r="H18" s="849">
        <f>IF(ISNUMBER(G18/B18),G18/B18," - ")</f>
        <v>253</v>
      </c>
      <c r="I18" s="848">
        <f>SUBTOTAL(9,I14:I17)</f>
        <v>356</v>
      </c>
      <c r="J18" s="849">
        <f>IF(ISNUMBER(I18/B18),I18/B18," - ")</f>
        <v>356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1076</v>
      </c>
      <c r="D19" s="794" t="str">
        <f>IF(ISNUMBER(C19/Datos!BI19),C19/Datos!BI19," - ")</f>
        <v xml:space="preserve"> - </v>
      </c>
      <c r="E19" s="793">
        <f>SUBTOTAL(9,E9:E18)</f>
        <v>559</v>
      </c>
      <c r="F19" s="794">
        <f>IF(ISNUMBER(E19/B19),E19/B19," - ")</f>
        <v>559</v>
      </c>
      <c r="G19" s="793">
        <f>SUBTOTAL(9,G9:G18)</f>
        <v>395</v>
      </c>
      <c r="H19" s="794">
        <f>IF(ISNUMBER(G19/B19),G19/B19," - ")</f>
        <v>395</v>
      </c>
      <c r="I19" s="793">
        <f>SUBTOTAL(9,I9:I18)</f>
        <v>1240</v>
      </c>
      <c r="J19" s="794">
        <f>IF(ISNUMBER(I19/B19),I19/B19," - ")</f>
        <v>1240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htc8kzYQQS1+PxZuwA9Yu2+tC9UMZhoqLAhgjsFcipyp3Mi4zg18DzX699PImtig2E3mJED7qHA0bgzgWzFXA==" saltValue="3/xMBMBNk5xXQcaWGcly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 VICENTE DE LA BARQUERA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69</v>
      </c>
      <c r="AM12" s="689">
        <f>IF(ISNUMBER(Datos!N12+DatosP!N16),Datos!N12+DatosP!N16," - ")</f>
        <v>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18.808510638297872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1.0309278350515464E-2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v>
      </c>
      <c r="AE13" s="938">
        <f t="shared" si="1"/>
        <v>0</v>
      </c>
      <c r="AF13" s="938">
        <f t="shared" si="1"/>
        <v>0</v>
      </c>
      <c r="AG13" s="938">
        <f t="shared" si="1"/>
        <v>0</v>
      </c>
      <c r="AH13" s="938">
        <f t="shared" si="1"/>
        <v>490</v>
      </c>
      <c r="AI13" s="938">
        <f t="shared" si="1"/>
        <v>0</v>
      </c>
      <c r="AJ13" s="938">
        <f t="shared" si="1"/>
        <v>0</v>
      </c>
      <c r="AK13" s="938">
        <f t="shared" si="1"/>
        <v>0</v>
      </c>
      <c r="AL13" s="938">
        <f t="shared" si="1"/>
        <v>69</v>
      </c>
      <c r="AM13" s="938">
        <f t="shared" si="1"/>
        <v>16</v>
      </c>
      <c r="AN13" s="938">
        <f t="shared" si="1"/>
        <v>0</v>
      </c>
      <c r="AO13" s="938">
        <f t="shared" si="1"/>
        <v>0</v>
      </c>
      <c r="AP13" s="943">
        <f>IF(ISNUMBER(((Datos!L13/Datos!K13)*11)/factor_trimestre),((Datos!L13/Datos!K13)*11)/factor_trimestre," - ")</f>
        <v>25.306930693069308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1.0309278350515464E-2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4.2213438735177871</v>
      </c>
      <c r="AQ18" s="943">
        <f>IF(ISNUMBER(((Datos!M18/Datos!L18)*11)/factor_trimestre),((Datos!M18/Datos!L18)*11)/factor_trimestre," - ")</f>
        <v>0.44662921348314605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6.7961165048543687E-2</v>
      </c>
      <c r="AW18" s="945">
        <f>IF(ISNUMBER((Datos!Q18-Datos!R18)/(Datos!S18-Datos!Q18+Datos!R18)),(Datos!Q18-Datos!R18)/(Datos!S18-Datos!Q18+Datos!R18)," - ")</f>
        <v>-0.22222222222222221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v>
      </c>
      <c r="AE19" s="956">
        <f t="shared" si="5"/>
        <v>0</v>
      </c>
      <c r="AF19" s="957">
        <f t="shared" si="5"/>
        <v>0</v>
      </c>
      <c r="AG19" s="957">
        <f t="shared" si="5"/>
        <v>0</v>
      </c>
      <c r="AH19" s="957">
        <f t="shared" si="5"/>
        <v>490</v>
      </c>
      <c r="AI19" s="957">
        <f t="shared" si="5"/>
        <v>0</v>
      </c>
      <c r="AJ19" s="958">
        <f t="shared" si="5"/>
        <v>0</v>
      </c>
      <c r="AK19" s="958">
        <f t="shared" si="5"/>
        <v>0</v>
      </c>
      <c r="AL19" s="950">
        <f t="shared" si="5"/>
        <v>69</v>
      </c>
      <c r="AM19" s="950">
        <f t="shared" si="5"/>
        <v>16</v>
      </c>
      <c r="AN19" s="950">
        <f t="shared" si="5"/>
        <v>0</v>
      </c>
      <c r="AO19" s="950">
        <f t="shared" si="5"/>
        <v>0</v>
      </c>
      <c r="AP19" s="950">
        <f>IF(ISNUMBER(((Datos!L19/Datos!K19)*11)/factor_trimestre),((Datos!L19/Datos!K19)*11)/factor_trimestre," - ")</f>
        <v>10.23728813559322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2.0408163265306121E-2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39.837168574084181</v>
      </c>
      <c r="AM21" s="735"/>
      <c r="AN21" s="735">
        <f>IF(ISNUMBER(STDEV(AN8:AN18)),STDEV(AN8:AN18),"-")</f>
        <v>0</v>
      </c>
      <c r="AO21" s="741">
        <f>IF(ISNUMBER(STDEV(AO8:AO18)),STDEV(AO8:AO18),"-")</f>
        <v>0</v>
      </c>
      <c r="AP21" s="778">
        <f>IF(ISNUMBER(STDEV(AP8:AP18)),STDEV(AP8:AP18),"-")</f>
        <v>11.943050373159378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h2hIIp6yyy3bKmDCbqWj6lTPzwlmcUa7zJM5nPlgZF1QVwP2GzryZ8la2IrDhusgOv8J0z2cXg0sM6zxSx0tg==" saltValue="IVbHSELDn092QlEM98oK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 VICENTE DE LA BARQUERA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0xlcCR3jeTQcKp6PQlpD7E8QQWe9LBHCbzIjfg4JsyX02QrKGDLZl69G4lu3NXJvUuN/Q2u+Xd2KCkhMMlo2Ig==" saltValue="ozdUQNl83yEwYw7z1wyE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 VICENTE DE LA BARQUERA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69</v>
      </c>
      <c r="E12" s="403">
        <f t="shared" si="0"/>
        <v>69</v>
      </c>
      <c r="F12" s="402">
        <f>IF(ISNUMBER(Datos!N12),Datos!N12," - ")</f>
        <v>16</v>
      </c>
      <c r="G12" s="403">
        <f t="shared" si="1"/>
        <v>16</v>
      </c>
      <c r="H12" s="402">
        <f>IF(ISNUMBER(Datos!O12),Datos!O12," - ")</f>
        <v>27</v>
      </c>
      <c r="I12" s="403">
        <f t="shared" si="2"/>
        <v>27</v>
      </c>
      <c r="BZ12" s="1185">
        <f>Datos!EZ12</f>
        <v>0</v>
      </c>
    </row>
    <row r="13" spans="1:78" ht="14.25" thickTop="1" thickBot="1">
      <c r="A13" s="847" t="str">
        <f>Datos!A13</f>
        <v>TOTAL</v>
      </c>
      <c r="B13" s="848">
        <f>Datos!AP13</f>
        <v>1</v>
      </c>
      <c r="C13" s="850">
        <f>Datos!AR13</f>
        <v>1</v>
      </c>
      <c r="D13" s="848">
        <f>SUBTOTAL(9,D9:D12)</f>
        <v>69</v>
      </c>
      <c r="E13" s="849">
        <f t="shared" si="0"/>
        <v>69</v>
      </c>
      <c r="F13" s="848">
        <f>SUBTOTAL(9,F9:F12)</f>
        <v>16</v>
      </c>
      <c r="G13" s="849">
        <f t="shared" si="1"/>
        <v>16</v>
      </c>
      <c r="H13" s="848">
        <f>SUBTOTAL(9,H9:H12)</f>
        <v>27</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52</v>
      </c>
      <c r="E16" s="403">
        <f t="shared" si="3"/>
        <v>52</v>
      </c>
      <c r="F16" s="402">
        <f>IF(ISNUMBER(Datos!N16),Datos!N16," - ")</f>
        <v>151</v>
      </c>
      <c r="G16" s="403">
        <f t="shared" si="4"/>
        <v>151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53</v>
      </c>
      <c r="E18" s="849">
        <f t="shared" si="3"/>
        <v>53</v>
      </c>
      <c r="F18" s="848">
        <f>SUBTOTAL(9,F15:F17)</f>
        <v>176</v>
      </c>
      <c r="G18" s="849">
        <f t="shared" si="4"/>
        <v>176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122</v>
      </c>
      <c r="E19" s="794">
        <f>IF(ISNUMBER(D19/B19),D19/B19," - ")</f>
        <v>122</v>
      </c>
      <c r="F19" s="793">
        <f>SUBTOTAL(9,F8:F18)</f>
        <v>192</v>
      </c>
      <c r="G19" s="794">
        <f>IF(ISNUMBER(F19/B19),F19/B19," - ")</f>
        <v>192</v>
      </c>
      <c r="H19" s="793">
        <f>SUBTOTAL(9,H8:H18)</f>
        <v>27</v>
      </c>
      <c r="I19" s="794">
        <f>IF(ISNUMBER(H19/B19),H19/B19," - ")</f>
        <v>27</v>
      </c>
    </row>
    <row r="22" spans="1:78">
      <c r="A22" s="390" t="str">
        <f>Criterios!A4</f>
        <v>Fecha Informe: 17 mar. 2026</v>
      </c>
    </row>
    <row r="27" spans="1:78">
      <c r="A27" s="413"/>
    </row>
  </sheetData>
  <sheetProtection algorithmName="SHA-512" hashValue="ZRhmLkDKdW28JuB6q9W8R+RVmDQ3wPl0j07KbGhiJcuGQ7hkceKNv8z4VpElUYOlbfnf840Uhs9tSCwJPAtAGw==" saltValue="CEcQzwgfFvwI9nvvcmdm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 VICENTE DE LA BARQUERA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v>
      </c>
      <c r="C12" s="433">
        <f>IF(ISNUMBER(Datos!Q12),Datos!Q12," - ")</f>
        <v>3</v>
      </c>
      <c r="D12" s="407">
        <f>IF(ISNUMBER(Datos!R12),Datos!R12," - ")</f>
        <v>490</v>
      </c>
    </row>
    <row r="13" spans="1:4" ht="14.25" thickTop="1" thickBot="1">
      <c r="A13" s="847" t="str">
        <f>Datos!A13</f>
        <v>TOTAL</v>
      </c>
      <c r="B13" s="848">
        <f>SUBTOTAL(9,B9:B12)</f>
        <v>8</v>
      </c>
      <c r="C13" s="852">
        <f>SUBTOTAL(9,C9:C12)</f>
        <v>3</v>
      </c>
      <c r="D13" s="850">
        <f>SUBTOTAL(9,D9:D12)</f>
        <v>490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0</v>
      </c>
      <c r="D16" s="407">
        <f>IF(ISNUMBER(Datos!R16),Datos!R16," - ")</f>
        <v>110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0</v>
      </c>
      <c r="D18" s="850">
        <f>SUBTOTAL(9,D15:D17)</f>
        <v>110</v>
      </c>
    </row>
    <row r="19" spans="1:4" ht="16.5" customHeight="1" thickTop="1" thickBot="1">
      <c r="A19" s="792" t="str">
        <f>Datos!A19</f>
        <v>TOTAL JURISDICCIONES</v>
      </c>
      <c r="B19" s="797">
        <f>SUBTOTAL(9,B8:B18)</f>
        <v>15</v>
      </c>
      <c r="C19" s="798">
        <f>SUBTOTAL(9,C8:C18)</f>
        <v>3</v>
      </c>
      <c r="D19" s="799">
        <f>SUBTOTAL(9,D8:D18)</f>
        <v>600</v>
      </c>
    </row>
    <row r="20" spans="1:4" ht="7.5" customHeight="1"/>
    <row r="21" spans="1:4" ht="6" customHeight="1"/>
    <row r="22" spans="1:4">
      <c r="A22" s="390" t="str">
        <f>Criterios!A4</f>
        <v>Fecha Informe: 17 mar. 2026</v>
      </c>
    </row>
    <row r="27" spans="1:4">
      <c r="A27" s="413"/>
    </row>
  </sheetData>
  <sheetProtection algorithmName="SHA-512" hashValue="WlRgKS28UtqNLtMLxPIwysqSaL1lM+6LtCWiMQYNTjWzqHJeIVRN4XWkzqefMZqkiL93ZBMOTyTzxwUDCl23ng==" saltValue="ucx+3r0J8Ka/xnRB2oFG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 VICENTE DE LA BARQUERA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-0.88888888888888884</v>
      </c>
      <c r="C10" s="455">
        <f>IF(ISNUMBER((Datos!J10-Datos!T10)/Datos!T10),(Datos!J10-Datos!T10)/Datos!T10," - ")</f>
        <v>-1</v>
      </c>
      <c r="D10" s="455">
        <f>IF(ISNUMBER((Datos!K10-Datos!U10)/Datos!U10),(Datos!K10-Datos!U10)/Datos!U10," - ")</f>
        <v>0</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-0.11059371362048893</v>
      </c>
      <c r="C12" s="455">
        <f>IF(ISNUMBER(
   IF(J_V="SI",(Datos!J12-Datos!T12)/Datos!T12,(Datos!J12+Datos!Z12-(Datos!T12+Datos!AH12))/(Datos!T12+Datos!AH12))
     ),IF(J_V="SI",(Datos!J12-Datos!T12)/Datos!T12,(Datos!J12+Datos!Z12-(Datos!T12+Datos!AH12))/(Datos!T12+Datos!AH12))," - ")</f>
        <v>-1.509433962264151E-2</v>
      </c>
      <c r="D12" s="455">
        <f>IF(ISNUMBER(
   IF(J_V="SI",(Datos!K12-Datos!U12)/Datos!U12,(Datos!K12+Datos!AA12-(Datos!U12+Datos!AI12))/(Datos!U12+Datos!AI12))
     ),IF(J_V="SI",(Datos!K12-Datos!U12)/Datos!U12,(Datos!K12+Datos!AA12-(Datos!U12+Datos!AI12))/(Datos!U12+Datos!AI12))," - ")</f>
        <v>-0.18965517241379309</v>
      </c>
      <c r="E12" s="455">
        <f>IF(ISNUMBER(
   IF(J_V="SI",(Datos!L12-Datos!V12)/Datos!V12,(Datos!L12+Datos!AB12-(Datos!V12+Datos!AJ12))/(Datos!V12+Datos!AJ12))
     ),IF(J_V="SI",(Datos!L12-Datos!V12)/Datos!V12,(Datos!L12+Datos!AB12-(Datos!V12+Datos!AJ12))/(Datos!V12+Datos!AJ12))," - ")</f>
        <v>-6.9473684210526312E-2</v>
      </c>
      <c r="F12" s="455">
        <f>IF(ISNUMBER((Datos!M12-Datos!W12)/Datos!W12),(Datos!M12-Datos!W12)/Datos!W12," - ")</f>
        <v>-0.17857142857142858</v>
      </c>
      <c r="G12" s="456">
        <f>IF(ISNUMBER((Datos!N12-Datos!X12)/Datos!X12),(Datos!N12-Datos!X12)/Datos!X12," - ")</f>
        <v>-0.46666666666666667</v>
      </c>
      <c r="H12" s="454">
        <f>IF(ISNUMBER(((NºAsuntos!G12/NºAsuntos!E12)-Datos!BD12)/Datos!BD12),((NºAsuntos!G12/NºAsuntos!E12)-Datos!BD12)/Datos!BD12," - ")</f>
        <v>-0.17723609459637993</v>
      </c>
      <c r="I12" s="455">
        <f>IF(ISNUMBER(((NºAsuntos!I12/NºAsuntos!G12)-Datos!BE12)/Datos!BE12),((NºAsuntos!I12/NºAsuntos!G12)-Datos!BE12)/Datos!BE12," - ")</f>
        <v>0.14830907054871209</v>
      </c>
      <c r="J12" s="460">
        <f>IF(ISNUMBER((('Resol  Asuntos'!D12/NºAsuntos!G12)-Datos!BF12)/Datos!BF12),(('Resol  Asuntos'!D12/NºAsuntos!G12)-Datos!BF12)/Datos!BF12," - ")</f>
        <v>1.8382978723404253</v>
      </c>
      <c r="K12" s="461">
        <f>IF(ISNUMBER((((NºAsuntos!C12+NºAsuntos!E12)/NºAsuntos!G12)-Datos!BG12)/Datos!BG12),(((NºAsuntos!C12+NºAsuntos!E12)/NºAsuntos!G12)-Datos!BG12)/Datos!BG12," - ")</f>
        <v>0.12535019307942746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-0.11866359447004608</v>
      </c>
      <c r="C13" s="854">
        <f>IF(ISNUMBER(
   IF(J_V="SI",(Datos!J13-Datos!T13)/Datos!T13,(Datos!J13+Datos!Z13-(Datos!T13+Datos!AH13))/(Datos!T13+Datos!AH13))
     ),IF(J_V="SI",(Datos!J13-Datos!T13)/Datos!T13,(Datos!J13+Datos!Z13-(Datos!T13+Datos!AH13))/(Datos!T13+Datos!AH13))," - ")</f>
        <v>-1.8796992481203006E-2</v>
      </c>
      <c r="D13" s="854">
        <f>IF(ISNUMBER(
   IF(J_V="SI",(Datos!K13-Datos!U13)/Datos!U13,(Datos!K13+Datos!AA13-(Datos!U13+Datos!AI13))/(Datos!U13+Datos!AI13))
     ),IF(J_V="SI",(Datos!K13-Datos!U13)/Datos!U13,(Datos!K13+Datos!AA13-(Datos!U13+Datos!AI13))/(Datos!U13+Datos!AI13))," - ")</f>
        <v>-0.18857142857142858</v>
      </c>
      <c r="E13" s="854">
        <f>IF(ISNUMBER(
   IF(J_V="SI",(Datos!L13-Datos!V13)/Datos!V13,(Datos!L13+Datos!AB13-(Datos!V13+Datos!AJ13))/(Datos!V13+Datos!AJ13))
     ),IF(J_V="SI",(Datos!L13-Datos!V13)/Datos!V13,(Datos!L13+Datos!AB13-(Datos!V13+Datos!AJ13))/(Datos!V13+Datos!AJ13))," - ")</f>
        <v>-7.8206465067778938E-2</v>
      </c>
      <c r="F13" s="855">
        <f>IF(ISNUMBER((Datos!M13-Datos!W13)/Datos!W13),(Datos!M13-Datos!W13)/Datos!W13," - ")</f>
        <v>-0.17857142857142858</v>
      </c>
      <c r="G13" s="856">
        <f>IF(ISNUMBER((Datos!N13-Datos!X13)/Datos!X13),(Datos!N13-Datos!X13)/Datos!X13," - ")</f>
        <v>-0.46666666666666667</v>
      </c>
      <c r="H13" s="856">
        <f>IF(ISNUMBER(((NºAsuntos!G13/NºAsuntos!E13)-Datos!BD13)/Datos!BD13),((NºAsuntos!G13/NºAsuntos!E13)-Datos!BD13)/Datos!BD13," - ")</f>
        <v>-0.17302681992337166</v>
      </c>
      <c r="I13" s="856">
        <f>IF(ISNUMBER(((NºAsuntos!I13/NºAsuntos!G13)-Datos!BE13)/Datos!BE13),((NºAsuntos!I13/NºAsuntos!G13)-Datos!BE13)/Datos!BE13," - ")</f>
        <v>0.13601315924745538</v>
      </c>
      <c r="J13" s="856">
        <f>IF(ISNUMBER((('Resol  Asuntos'!D13/NºAsuntos!G13)-Datos!BF13)/Datos!BF13),(('Resol  Asuntos'!D13/NºAsuntos!G13)-Datos!BF13)/Datos!BF13," - ")</f>
        <v>1.8345070422535212</v>
      </c>
      <c r="K13" s="856">
        <f>IF(ISNUMBER((((NºAsuntos!C13+NºAsuntos!E13)/NºAsuntos!G13)-Datos!BG13)/Datos!BG13),(((NºAsuntos!C13+NºAsuntos!E13)/NºAsuntos!G13)-Datos!BG13)/Datos!BG13," - ")</f>
        <v>0.11502347417840364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-0.21606648199445982</v>
      </c>
      <c r="C16" s="455">
        <f>IF(ISNUMBER(
   IF(D_I="SI",(Datos!J16-Datos!T16)/Datos!T16,(Datos!J16+Datos!AD16-(Datos!T16+Datos!AL16))/(Datos!T16+Datos!AL16))
     ),IF(D_I="SI",(Datos!J16-Datos!T16)/Datos!T16,(Datos!J16+Datos!AD16-(Datos!T16+Datos!AL16))/(Datos!T16+Datos!AL16))," - ")</f>
        <v>0.18777292576419213</v>
      </c>
      <c r="D16" s="455">
        <f>IF(ISNUMBER(
   IF(D_I="SI",(Datos!K16-Datos!U16)/Datos!U16,(Datos!K16+Datos!AE16-(Datos!U16+Datos!AM16))/(Datos!U16+Datos!AM16))
     ),IF(D_I="SI",(Datos!K16-Datos!U16)/Datos!U16,(Datos!K16+Datos!AE16-(Datos!U16+Datos!AM16))/(Datos!U16+Datos!AM16))," - ")</f>
        <v>-0.1183206106870229</v>
      </c>
      <c r="E16" s="455">
        <f>IF(ISNUMBER(
   IF(D_I="SI",(Datos!L16-Datos!V16)/Datos!V16,(Datos!L16+Datos!AF16-(Datos!V16+Datos!AN16))/(Datos!V16+Datos!AN16))
     ),IF(D_I="SI",(Datos!L16-Datos!V16)/Datos!V16,(Datos!L16+Datos!AF16-(Datos!V16+Datos!AN16))/(Datos!V16+Datos!AN16))," - ")</f>
        <v>-1.2195121951219513E-2</v>
      </c>
      <c r="F16" s="455">
        <f>IF(ISNUMBER((Datos!M16-Datos!W16)/Datos!W16),(Datos!M16-Datos!W16)/Datos!W16," - ")</f>
        <v>-0.26760563380281688</v>
      </c>
      <c r="G16" s="456">
        <f>IF(ISNUMBER((Datos!N16-Datos!X16)/Datos!X16),(Datos!N16-Datos!X16)/Datos!X16," - ")</f>
        <v>-7.3619631901840496E-2</v>
      </c>
      <c r="H16" s="454">
        <f>IF(ISNUMBER(((NºAsuntos!G16/NºAsuntos!E16)-Datos!BD16)/Datos!BD16),((NºAsuntos!G16/NºAsuntos!E16)-Datos!BD16)/Datos!BD16," - ")</f>
        <v>-0.25770374943870678</v>
      </c>
      <c r="I16" s="455">
        <f>IF(ISNUMBER(((NºAsuntos!I16/NºAsuntos!G16)-Datos!BE16)/Datos!BE16),((NºAsuntos!I16/NºAsuntos!G16)-Datos!BE16)/Datos!BE16," - ")</f>
        <v>0.12036743744060811</v>
      </c>
      <c r="J16" s="460">
        <f>IF(ISNUMBER((('Resol  Asuntos'!D16/NºAsuntos!G16)-Datos!BF16)/Datos!BF16),(('Resol  Asuntos'!D16/NºAsuntos!G16)-Datos!BF16)/Datos!BF16," - ")</f>
        <v>-0.16931894396683128</v>
      </c>
      <c r="K16" s="461">
        <f>IF(ISNUMBER((((NºAsuntos!C16+NºAsuntos!E16)/NºAsuntos!G16)-Datos!BG16)/Datos!BG16),(((NºAsuntos!C16+NºAsuntos!E16)/NºAsuntos!G16)-Datos!BG16)/Datos!BG16," - ")</f>
        <v>6.6916134712744962E-2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0.36842105263157893</v>
      </c>
      <c r="D17" s="455">
        <f>IF(ISNUMBER(
   IF(D_I="SI",(Datos!K17-Datos!U17)/Datos!U17,(Datos!K17+Datos!AE17-(Datos!U17+Datos!AM17))/(Datos!U17+Datos!AM17))
     ),IF(D_I="SI",(Datos!K17-Datos!U17)/Datos!U17,(Datos!K17+Datos!AE17-(Datos!U17+Datos!AM17))/(Datos!U17+Datos!AM17))," - ")</f>
        <v>0.22222222222222221</v>
      </c>
      <c r="E17" s="455">
        <f>IF(ISNUMBER(
   IF(D_I="SI",(Datos!L17-Datos!V17)/Datos!V17,(Datos!L17+Datos!AF17-(Datos!V17+Datos!AN17))/(Datos!V17+Datos!AN17))
     ),IF(D_I="SI",(Datos!L17-Datos!V17)/Datos!V17,(Datos!L17+Datos!AF17-(Datos!V17+Datos!AN17))/(Datos!V17+Datos!AN17))," - ")</f>
        <v>0.28000000000000003</v>
      </c>
      <c r="F17" s="455">
        <f>IF(ISNUMBER((Datos!M17-Datos!W17)/Datos!W17),(Datos!M17-Datos!W17)/Datos!W17," - ")</f>
        <v>0</v>
      </c>
      <c r="G17" s="456">
        <f>IF(ISNUMBER((Datos!N17-Datos!X17)/Datos!X17),(Datos!N17-Datos!X17)/Datos!X17," - ")</f>
        <v>3.1666666666666665</v>
      </c>
      <c r="H17" s="454">
        <f>IF(ISNUMBER(((NºAsuntos!G17/NºAsuntos!E17)-Datos!BD17)/Datos!BD17),((NºAsuntos!G17/NºAsuntos!E17)-Datos!BD17)/Datos!BD17," - ")</f>
        <v>-0.10683760683760679</v>
      </c>
      <c r="I17" s="455">
        <f>IF(ISNUMBER(((NºAsuntos!I17/NºAsuntos!G17)-Datos!BE17)/Datos!BE17),((NºAsuntos!I17/NºAsuntos!G17)-Datos!BE17)/Datos!BE17," - ")</f>
        <v>4.7272727272727341E-2</v>
      </c>
      <c r="J17" s="460">
        <f>IF(ISNUMBER((('Resol  Asuntos'!D17/NºAsuntos!G17)-Datos!BF17)/Datos!BF17),(('Resol  Asuntos'!D17/NºAsuntos!G17)-Datos!BF17)/Datos!BF17," - ")</f>
        <v>-0.18181818181818174</v>
      </c>
      <c r="K17" s="461">
        <f>IF(ISNUMBER((((NºAsuntos!C17+NºAsuntos!E17)/NºAsuntos!G17)-Datos!BG17)/Datos!BG17),(((NºAsuntos!C17+NºAsuntos!E17)/NºAsuntos!G17)-Datos!BG17)/Datos!BG17," - ")</f>
        <v>2.7484143763213568E-2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-0.19220779220779222</v>
      </c>
      <c r="C18" s="854">
        <f>IF(ISNUMBER(
   IF(Criterios!B14="SI",(Datos!J18-Datos!T18)/Datos!T18,(Datos!J18+Datos!AD18-(Datos!T18+Datos!AL18))/(Datos!T18+Datos!AL18))
     ),IF(Criterios!B14="SI",(Datos!J18-Datos!T18)/Datos!T18,(Datos!J18+Datos!AD18-(Datos!T18+Datos!AL18))/(Datos!T18+Datos!AL18))," - ")</f>
        <v>0.20161290322580644</v>
      </c>
      <c r="D18" s="854">
        <f>IF(ISNUMBER(
   IF(Criterios!B14="SI",(Datos!K18-Datos!U18)/Datos!U18,(Datos!K18+Datos!AE18-(Datos!U18+Datos!AM18))/(Datos!U18+Datos!AM18))
     ),IF(Criterios!B14="SI",(Datos!K18-Datos!U18)/Datos!U18,(Datos!K18+Datos!AE18-(Datos!U18+Datos!AM18))/(Datos!U18+Datos!AM18))," - ")</f>
        <v>-9.6428571428571433E-2</v>
      </c>
      <c r="E18" s="854">
        <f>IF(ISNUMBER(
   IF(Criterios!B14="SI",(Datos!L18-Datos!V18)/Datos!V18,(Datos!L18+Datos!AF18-(Datos!V18+Datos!AN18))/(Datos!V18+Datos!AN18))
     ),IF(Criterios!B14="SI",(Datos!L18-Datos!V18)/Datos!V18,(Datos!L18+Datos!AF18-(Datos!V18+Datos!AN18))/(Datos!V18+Datos!AN18))," - ")</f>
        <v>8.4985835694051E-3</v>
      </c>
      <c r="F18" s="855">
        <f>IF(ISNUMBER((Datos!M18-Datos!W18)/Datos!W18),(Datos!M18-Datos!W18)/Datos!W18," - ")</f>
        <v>-0.2638888888888889</v>
      </c>
      <c r="G18" s="856">
        <f>IF(ISNUMBER((Datos!N18-Datos!X18)/Datos!X18),(Datos!N18-Datos!X18)/Datos!X18," - ")</f>
        <v>4.142011834319527E-2</v>
      </c>
      <c r="H18" s="856">
        <f>IF(ISNUMBER(((NºAsuntos!G18/NºAsuntos!E18)-Datos!BD18)/Datos!BD18),((NºAsuntos!G18/NºAsuntos!E18)-Datos!BD18)/Datos!BD18," - ")</f>
        <v>-0.24803451581975075</v>
      </c>
      <c r="I18" s="856">
        <f>IF(ISNUMBER(((NºAsuntos!I18/NºAsuntos!G18)-Datos!BE18)/Datos!BE18),((NºAsuntos!I18/NºAsuntos!G18)-Datos!BE18)/Datos!BE18," - ")</f>
        <v>0.11612491462226662</v>
      </c>
      <c r="J18" s="856">
        <f>IF(ISNUMBER((('Resol  Asuntos'!D18/NºAsuntos!G18)-Datos!BF18)/Datos!BF18),(('Resol  Asuntos'!D18/NºAsuntos!G18)-Datos!BF18)/Datos!BF18," - ")</f>
        <v>-0.18533157663592434</v>
      </c>
      <c r="K18" s="856">
        <f>IF(ISNUMBER((((NºAsuntos!C18+NºAsuntos!E18)/NºAsuntos!G18)-Datos!BG18)/Datos!BG18),(((NºAsuntos!C18+NºAsuntos!E18)/NºAsuntos!G18)-Datos!BG18)/Datos!BG18," - ")</f>
        <v>6.4758443699304988E-2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-0.14126097366320831</v>
      </c>
      <c r="C19" s="801">
        <f>IF(ISNUMBER(
   IF(J_V="SI",(Datos!J19-Datos!T19)/Datos!T19,(Datos!J19+Datos!Z19-(Datos!T19+Datos!AH19))/(Datos!T19+Datos!AH19))
     ),IF(J_V="SI",(Datos!J19-Datos!T19)/Datos!T19,(Datos!J19+Datos!Z19-(Datos!T19+Datos!AH19))/(Datos!T19+Datos!AH19))," - ")</f>
        <v>8.7548638132295714E-2</v>
      </c>
      <c r="D19" s="801">
        <f>IF(ISNUMBER(
   IF(J_V="SI",(Datos!K19-Datos!U19)/Datos!U19,(Datos!K19+Datos!AA19-(Datos!U19+Datos!AI19))/(Datos!U19+Datos!AI19))
     ),IF(J_V="SI",(Datos!K19-Datos!U19)/Datos!U19,(Datos!K19+Datos!AA19-(Datos!U19+Datos!AI19))/(Datos!U19+Datos!AI19))," - ")</f>
        <v>-0.13186813186813187</v>
      </c>
      <c r="E19" s="801">
        <f>IF(ISNUMBER(
   IF(J_V="SI",(Datos!L19-Datos!V19)/Datos!V19,(Datos!L19+Datos!AB19-(Datos!V19+Datos!AJ19))/(Datos!V19+Datos!AJ19))
     ),IF(J_V="SI",(Datos!L19-Datos!V19)/Datos!V19,(Datos!L19+Datos!AB19-(Datos!V19+Datos!AJ19))/(Datos!V19+Datos!AJ19))," - ")</f>
        <v>-5.4878048780487805E-2</v>
      </c>
      <c r="F19" s="802">
        <f>IF(ISNUMBER((Datos!M19-Datos!W19)/Datos!W19),(Datos!M19-Datos!W19)/Datos!W19," - ")</f>
        <v>-0.21794871794871795</v>
      </c>
      <c r="G19" s="803">
        <f>IF(ISNUMBER((Datos!N19-Datos!X19)/Datos!X19),(Datos!N19-Datos!X19)/Datos!X19," - ")</f>
        <v>-3.5175879396984924E-2</v>
      </c>
      <c r="H19" s="804">
        <f>IF(ISNUMBER((Tasas!B19-Datos!BD19)/Datos!BD19),(Tasas!B19-Datos!BD19)/Datos!BD19," - ")</f>
        <v>-0.20175352375710159</v>
      </c>
      <c r="I19" s="805">
        <f>IF(ISNUMBER((Tasas!C19-Datos!BE19)/Datos!BE19),(Tasas!C19-Datos!BE19)/Datos!BE19," - ")</f>
        <v>8.8684779252855783E-2</v>
      </c>
      <c r="J19" s="806">
        <f>IF(ISNUMBER((Tasas!D19-Datos!BF19)/Datos!BF19),(Tasas!D19-Datos!BF19)/Datos!BF19," - ")</f>
        <v>0.37776123107470821</v>
      </c>
      <c r="K19" s="806">
        <f>IF(ISNUMBER((Tasas!E19-Datos!BG19)/Datos!BG19),(Tasas!E19-Datos!BG19)/Datos!BG19," - ")</f>
        <v>6.5848574068900267E-2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xxji9jroOkwpcEUN1HkRWtxT6KqUgvhZ9roJrizZiUtQmuGvrDq0Eq+BB6VhE2kEqiTa9m18eG9DX7Ir17Ayg==" saltValue="Jz7cE/0WzK1hm6vBwblp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 VICENTE DE LA BARQUERA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0.54022988505747127</v>
      </c>
      <c r="C12" s="442">
        <f>IF(ISNUMBER(NºAsuntos!I12/NºAsuntos!G12),NºAsuntos!I12/NºAsuntos!G12," - ")</f>
        <v>6.2695035460992905</v>
      </c>
      <c r="D12" s="443">
        <f>IF(ISNUMBER('Resol  Asuntos'!D12/NºAsuntos!G12),'Resol  Asuntos'!D12/NºAsuntos!G12," - ")</f>
        <v>0.48936170212765956</v>
      </c>
      <c r="E12" s="444">
        <f>IF(ISNUMBER((NºAsuntos!C12+NºAsuntos!E12)/NºAsuntos!G12),(NºAsuntos!C12+NºAsuntos!E12)/NºAsuntos!G12," - ")</f>
        <v>7.2695035460992905</v>
      </c>
      <c r="G12" s="462"/>
    </row>
    <row r="13" spans="1:7" ht="14.25" thickTop="1" thickBot="1">
      <c r="A13" s="847" t="str">
        <f>Datos!A13</f>
        <v>TOTAL</v>
      </c>
      <c r="B13" s="857">
        <f>IF(ISNUMBER(NºAsuntos!G13/NºAsuntos!E13),NºAsuntos!G13/NºAsuntos!E13," - ")</f>
        <v>0.54406130268199238</v>
      </c>
      <c r="C13" s="858">
        <f>IF(ISNUMBER(NºAsuntos!I13/NºAsuntos!G13),NºAsuntos!I13/NºAsuntos!G13," - ")</f>
        <v>6.225352112676056</v>
      </c>
      <c r="D13" s="859">
        <f>IF(ISNUMBER('Resol  Asuntos'!D13/NºAsuntos!G13),'Resol  Asuntos'!D13/NºAsuntos!G13," - ")</f>
        <v>0.4859154929577465</v>
      </c>
      <c r="E13" s="860">
        <f>IF(ISNUMBER((NºAsuntos!C13+NºAsuntos!E13)/NºAsuntos!G13),(NºAsuntos!C13+NºAsuntos!E13)/NºAsuntos!G13," - ")</f>
        <v>7.225352112676056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0.84926470588235292</v>
      </c>
      <c r="C16" s="442">
        <f>IF(ISNUMBER(NºAsuntos!I16/NºAsuntos!G16),NºAsuntos!I16/NºAsuntos!G16," - ")</f>
        <v>1.4025974025974026</v>
      </c>
      <c r="D16" s="443">
        <f>IF(ISNUMBER('Resol  Asuntos'!D16/NºAsuntos!G16),'Resol  Asuntos'!D16/NºAsuntos!G16," - ")</f>
        <v>0.22510822510822512</v>
      </c>
      <c r="E16" s="444">
        <f>IF(ISNUMBER((NºAsuntos!C16+NºAsuntos!E16)/NºAsuntos!G16),(NºAsuntos!C16+NºAsuntos!E16)/NºAsuntos!G16," - ")</f>
        <v>2.4025974025974026</v>
      </c>
      <c r="G16" s="462"/>
    </row>
    <row r="17" spans="1:7" ht="21.75" thickBot="1">
      <c r="A17" s="401" t="str">
        <f>Datos!A17</f>
        <v>Jdos. Violencia contra la mujer/Secc Viol. TI.</v>
      </c>
      <c r="B17" s="441">
        <f>IF(ISNUMBER(NºAsuntos!G17/NºAsuntos!E17),NºAsuntos!G17/NºAsuntos!E17," - ")</f>
        <v>0.84615384615384615</v>
      </c>
      <c r="C17" s="442">
        <f>IF(ISNUMBER(NºAsuntos!I17/NºAsuntos!G17),NºAsuntos!I17/NºAsuntos!G17," - ")</f>
        <v>1.4545454545454546</v>
      </c>
      <c r="D17" s="443">
        <f>IF(ISNUMBER('Resol  Asuntos'!D17/NºAsuntos!G17),'Resol  Asuntos'!D17/NºAsuntos!G17," - ")</f>
        <v>4.5454545454545456E-2</v>
      </c>
      <c r="E17" s="444">
        <f>IF(ISNUMBER((NºAsuntos!C17+NºAsuntos!E17)/NºAsuntos!G17),(NºAsuntos!C17+NºAsuntos!E17)/NºAsuntos!G17," - ")</f>
        <v>2.4545454545454546</v>
      </c>
      <c r="G17" s="462"/>
    </row>
    <row r="18" spans="1:7" ht="14.25" thickTop="1" thickBot="1">
      <c r="A18" s="847" t="str">
        <f>Datos!A18</f>
        <v>TOTAL</v>
      </c>
      <c r="B18" s="857">
        <f>IF(ISNUMBER(NºAsuntos!G18/NºAsuntos!E18),NºAsuntos!G18/NºAsuntos!E18," - ")</f>
        <v>0.84899328859060408</v>
      </c>
      <c r="C18" s="858">
        <f>IF(ISNUMBER(NºAsuntos!I18/NºAsuntos!G18),NºAsuntos!I18/NºAsuntos!G18," - ")</f>
        <v>1.4071146245059289</v>
      </c>
      <c r="D18" s="861">
        <f>IF(ISNUMBER('Resol  Asuntos'!D18/NºAsuntos!G18),'Resol  Asuntos'!D18/NºAsuntos!G18," - ")</f>
        <v>0.20948616600790515</v>
      </c>
      <c r="E18" s="860">
        <f>IF(ISNUMBER((NºAsuntos!C18+NºAsuntos!E18)/NºAsuntos!G18),(NºAsuntos!C18+NºAsuntos!E18)/NºAsuntos!G18," - ")</f>
        <v>2.4071146245059287</v>
      </c>
      <c r="G18" s="462"/>
    </row>
    <row r="19" spans="1:7" ht="15.75" customHeight="1" thickTop="1" thickBot="1">
      <c r="A19" s="792" t="str">
        <f>Datos!A19</f>
        <v>TOTAL JURISDICCIONES</v>
      </c>
      <c r="B19" s="807">
        <f>IF(ISNUMBER(NºAsuntos!G19/NºAsuntos!E19),NºAsuntos!G19/NºAsuntos!E19," - ")</f>
        <v>0.70661896243291589</v>
      </c>
      <c r="C19" s="808">
        <f>IF(ISNUMBER(NºAsuntos!I19/NºAsuntos!G19),NºAsuntos!I19/NºAsuntos!G19," - ")</f>
        <v>3.1392405063291138</v>
      </c>
      <c r="D19" s="809">
        <f>IF(ISNUMBER('Resol  Asuntos'!D19/NºAsuntos!G19),'Resol  Asuntos'!D19/NºAsuntos!G19," - ")</f>
        <v>0.30886075949367087</v>
      </c>
      <c r="E19" s="810">
        <f>IF(ISNUMBER((NºAsuntos!C19+NºAsuntos!E19)/NºAsuntos!G19),(NºAsuntos!C19+NºAsuntos!E19)/NºAsuntos!G19," - ")</f>
        <v>4.1392405063291138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EG4qCfWRIGfZDMENL46/Uzy/u23oSZ/uyXMjJUHMJLaE7Ajyh+0FP09x3tgrlsyAZxdk5ZVxlU3OdgMp/LxkA==" saltValue="KjVzNKU2adXlq/oQorIA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 VICENTE DE LA BARQUERA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v>
      </c>
      <c r="Y12" s="333">
        <f t="shared" si="0"/>
        <v>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69</v>
      </c>
      <c r="AJ12" s="228" t="str">
        <f>IF(ISNUMBER(Datos!BW12),Datos!BW12," - ")</f>
        <v xml:space="preserve"> - </v>
      </c>
      <c r="AK12" s="227" t="str">
        <f>IF(ISNUMBER(Datos!BX12),Datos!BX12," - ")</f>
        <v xml:space="preserve"> - </v>
      </c>
      <c r="AL12" s="242">
        <f>IF(ISNUMBER(NºAsuntos!G12/NºAsuntos!E12),NºAsuntos!G12/NºAsuntos!E12," - ")</f>
        <v>0.54022988505747127</v>
      </c>
      <c r="AM12" s="259">
        <f>IF(ISNUMBER(((NºAsuntos!I12/NºAsuntos!G12)*11)/factor_trimestre),((NºAsuntos!I12/NºAsuntos!G12)*11)/factor_trimestre," - ")</f>
        <v>18.808510638297872</v>
      </c>
      <c r="AN12" s="243">
        <f>IF(ISNUMBER('Resol  Asuntos'!D12/NºAsuntos!G12),'Resol  Asuntos'!D12/NºAsuntos!G12," - ")</f>
        <v>0.48936170212765956</v>
      </c>
      <c r="AO12" s="244">
        <f>IF(ISNUMBER((NºAsuntos!C12+NºAsuntos!E12)/NºAsuntos!G12),(NºAsuntos!C12+NºAsuntos!E12)/NºAsuntos!G12," - ")</f>
        <v>7.2695035460992905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v>
      </c>
      <c r="Y13" s="867">
        <f t="shared" si="4"/>
        <v>4</v>
      </c>
      <c r="Z13" s="867">
        <f t="shared" si="4"/>
        <v>0</v>
      </c>
      <c r="AA13" s="867">
        <f t="shared" si="4"/>
        <v>0</v>
      </c>
      <c r="AB13" s="867">
        <f t="shared" si="4"/>
        <v>490</v>
      </c>
      <c r="AC13" s="867">
        <f t="shared" si="4"/>
        <v>0</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0.54406130268199238</v>
      </c>
      <c r="AM13" s="873">
        <f>IF(ISNUMBER(((NºAsuntos!I13/NºAsuntos!G13)*11)/factor_trimestre),((NºAsuntos!I13/NºAsuntos!G13)*11)/factor_trimestre," - ")</f>
        <v>18.676056338028168</v>
      </c>
      <c r="AN13" s="874">
        <f>IF(ISNUMBER('Resol  Asuntos'!D13/NºAsuntos!G13),'Resol  Asuntos'!D13/NºAsuntos!G13," - ")</f>
        <v>0.4859154929577465</v>
      </c>
      <c r="AO13" s="875">
        <f>IF(ISNUMBER((NºAsuntos!C13+NºAsuntos!E13)/NºAsuntos!G13),(NºAsuntos!C13+NºAsuntos!E13)/NºAsuntos!G13," - ")</f>
        <v>7.225352112676056</v>
      </c>
      <c r="AP13" s="876" t="str">
        <f t="shared" si="2"/>
        <v xml:space="preserve"> - </v>
      </c>
      <c r="AQ13" s="876">
        <f>IF(ISNUMBER((H13-W13+K13)/(F13)),(H13-W13+K13)/(F13)," - ")</f>
        <v>-1</v>
      </c>
      <c r="AR13" s="877">
        <f>IF(ISNUMBER((Datos!P13-Datos!Q13)/(Datos!R13-Datos!P13+Datos!Q13)),(Datos!P13-Datos!Q13)/(Datos!R13-Datos!P13+Datos!Q13)," - ")</f>
        <v>1.0309278350515464E-2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283</v>
      </c>
      <c r="G16" s="332">
        <f>IF(ISNUMBER(IF(D_I="SI",Datos!I16,Datos!I16+Datos!AC16)),IF(D_I="SI",Datos!I16,Datos!I16+Datos!AC16)," - ")</f>
        <v>283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231</v>
      </c>
      <c r="X16" s="225">
        <f>IF(ISNUMBER(Datos!Q16),Datos!Q16," - ")</f>
        <v>0</v>
      </c>
      <c r="Y16" s="333">
        <f t="shared" ref="Y16:Y17" si="7">SUM(W16:X16)</f>
        <v>231</v>
      </c>
      <c r="Z16" s="334" t="str">
        <f>IF(ISNUMBER(Datos!CC16),Datos!CC16," - ")</f>
        <v xml:space="preserve"> - </v>
      </c>
      <c r="AA16" s="331">
        <f>IF(ISNUMBER(IF(D_I="SI",Datos!L16,Datos!L16+Datos!AF16)),IF(D_I="SI",Datos!L16,Datos!L16+Datos!AF16)," - ")</f>
        <v>324</v>
      </c>
      <c r="AB16" s="333">
        <f>IF(ISNUMBER(Datos!R16),Datos!R16," - ")</f>
        <v>110</v>
      </c>
      <c r="AC16" s="333">
        <f t="shared" si="6"/>
        <v>434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0.84926470588235292</v>
      </c>
      <c r="AM16" s="259">
        <f>IF(ISNUMBER(((NºAsuntos!I16/NºAsuntos!G16)*11)/factor_trimestre),((NºAsuntos!I16/NºAsuntos!G16)*11)/factor_trimestre," - ")</f>
        <v>4.2077922077922079</v>
      </c>
      <c r="AN16" s="243">
        <f>IF(ISNUMBER('Resol  Asuntos'!D16/NºAsuntos!G16),'Resol  Asuntos'!D16/NºAsuntos!G16," - ")</f>
        <v>0.22510822510822512</v>
      </c>
      <c r="AO16" s="244">
        <f>IF(ISNUMBER((NºAsuntos!C16+NºAsuntos!E16)/NºAsuntos!G16),(NºAsuntos!C16+NºAsuntos!E16)/NºAsuntos!G16," - ")</f>
        <v>2.4025974025974026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0.84615384615384615</v>
      </c>
      <c r="AM17" s="259">
        <f>IF(ISNUMBER(((NºAsuntos!I17/NºAsuntos!G17)*11)/factor_trimestre),((NºAsuntos!I17/NºAsuntos!G17)*11)/factor_trimestre," - ")</f>
        <v>4.3636363636363642</v>
      </c>
      <c r="AN17" s="243">
        <f>IF(ISNUMBER('Resol  Asuntos'!D17/NºAsuntos!G17),'Resol  Asuntos'!D17/NºAsuntos!G17," - ")</f>
        <v>4.5454545454545456E-2</v>
      </c>
      <c r="AO17" s="244">
        <f>IF(ISNUMBER((NºAsuntos!C17+NºAsuntos!E17)/NºAsuntos!G17),(NºAsuntos!C17+NºAsuntos!E17)/NºAsuntos!G17," - ")</f>
        <v>2.4545454545454546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283</v>
      </c>
      <c r="G18" s="865">
        <f>SUBTOTAL(9,G15:G17)</f>
        <v>311</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253</v>
      </c>
      <c r="X18" s="866">
        <f t="shared" si="11"/>
        <v>0</v>
      </c>
      <c r="Y18" s="867">
        <f t="shared" si="11"/>
        <v>253</v>
      </c>
      <c r="Z18" s="867">
        <f t="shared" si="11"/>
        <v>0</v>
      </c>
      <c r="AA18" s="867">
        <f t="shared" si="11"/>
        <v>356</v>
      </c>
      <c r="AB18" s="867">
        <f t="shared" si="11"/>
        <v>110</v>
      </c>
      <c r="AC18" s="867">
        <f t="shared" si="11"/>
        <v>466</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0.84899328859060408</v>
      </c>
      <c r="AM18" s="873">
        <f>IF(ISNUMBER(((NºAsuntos!I18/NºAsuntos!G18)*11)/factor_trimestre),((NºAsuntos!I18/NºAsuntos!G18)*11)/factor_trimestre," - ")</f>
        <v>4.2213438735177871</v>
      </c>
      <c r="AN18" s="874">
        <f>IF(ISNUMBER('Resol  Asuntos'!D18/NºAsuntos!G18),'Resol  Asuntos'!D18/NºAsuntos!G18," - ")</f>
        <v>0.20948616600790515</v>
      </c>
      <c r="AO18" s="875">
        <f>IF(ISNUMBER((NºAsuntos!C18+NºAsuntos!E18)/NºAsuntos!G18),(NºAsuntos!C18+NºAsuntos!E18)/NºAsuntos!G18," - ")</f>
        <v>2.4071146245059287</v>
      </c>
      <c r="AP18" s="876" t="str">
        <f t="shared" si="2"/>
        <v xml:space="preserve"> - </v>
      </c>
      <c r="AQ18" s="876">
        <f>IF(ISNUMBER((H18-W18+K18)/(F18)),(H18-W18+K18)/(F18)," - ")</f>
        <v>-0.89399293286219084</v>
      </c>
      <c r="AR18" s="877">
        <f>IF(ISNUMBER((Datos!P18-Datos!Q18)/(Datos!R18-Datos!P18+Datos!Q18)),(Datos!P18-Datos!Q18)/(Datos!R18-Datos!P18+Datos!Q18)," - ")</f>
        <v>6.7961165048543687E-2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284</v>
      </c>
      <c r="G19" s="820">
        <f t="shared" si="13"/>
        <v>312</v>
      </c>
      <c r="H19" s="819">
        <f t="shared" si="13"/>
        <v>0</v>
      </c>
      <c r="I19" s="821">
        <f t="shared" si="13"/>
        <v>0</v>
      </c>
      <c r="J19" s="821">
        <f t="shared" si="13"/>
        <v>0</v>
      </c>
      <c r="K19" s="880">
        <f t="shared" si="13"/>
        <v>0</v>
      </c>
      <c r="L19" s="821">
        <f t="shared" si="13"/>
        <v>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254</v>
      </c>
      <c r="X19" s="820">
        <f t="shared" si="14"/>
        <v>3</v>
      </c>
      <c r="Y19" s="827">
        <f t="shared" si="14"/>
        <v>257</v>
      </c>
      <c r="Z19" s="827">
        <f t="shared" si="14"/>
        <v>0</v>
      </c>
      <c r="AA19" s="827">
        <f t="shared" si="14"/>
        <v>356</v>
      </c>
      <c r="AB19" s="827">
        <f t="shared" si="14"/>
        <v>600</v>
      </c>
      <c r="AC19" s="827">
        <f t="shared" si="14"/>
        <v>466</v>
      </c>
      <c r="AD19" s="827">
        <f t="shared" si="14"/>
        <v>0</v>
      </c>
      <c r="AE19" s="829">
        <f t="shared" si="14"/>
        <v>0</v>
      </c>
      <c r="AF19" s="830">
        <f t="shared" si="14"/>
        <v>0</v>
      </c>
      <c r="AG19" s="831">
        <f t="shared" si="14"/>
        <v>0</v>
      </c>
      <c r="AH19" s="829">
        <f t="shared" si="14"/>
        <v>0</v>
      </c>
      <c r="AI19" s="819">
        <f t="shared" si="14"/>
        <v>122</v>
      </c>
      <c r="AJ19" s="819">
        <f t="shared" si="14"/>
        <v>0</v>
      </c>
      <c r="AK19" s="829">
        <f t="shared" si="14"/>
        <v>0</v>
      </c>
      <c r="AL19" s="883">
        <f>IF(ISNUMBER(NºAsuntos!G19/NºAsuntos!E19),NºAsuntos!G19/NºAsuntos!E19," - ")</f>
        <v>0.70661896243291589</v>
      </c>
      <c r="AM19" s="884">
        <f>IF(ISNUMBER(((NºAsuntos!I19/NºAsuntos!G19)*11)/factor_trimestre),((NºAsuntos!I19/NºAsuntos!G19)*11)/factor_trimestre," - ")</f>
        <v>9.4177215189873422</v>
      </c>
      <c r="AN19" s="884">
        <f>IF(ISNUMBER('Resol  Asuntos'!D19/NºAsuntos!G19),'Resol  Asuntos'!D19/NºAsuntos!G19," - ")</f>
        <v>0.30886075949367087</v>
      </c>
      <c r="AO19" s="885">
        <f>IF(ISNUMBER((NºAsuntos!C19+NºAsuntos!E19)/NºAsuntos!G19),(NºAsuntos!C19+NºAsuntos!E19)/NºAsuntos!G19," - ")</f>
        <v>4.1392405063291138</v>
      </c>
      <c r="AP19" s="886" t="str">
        <f t="shared" si="2"/>
        <v xml:space="preserve"> - </v>
      </c>
      <c r="AQ19" s="887">
        <f>IF(OR(ISNUMBER(FIND("01",Criterios!A8,1)),ISNUMBER(FIND("02",Criterios!A8,1)),ISNUMBER(FIND("03",Criterios!A8,1)),ISNUMBER(FIND("04",Criterios!A8,1))),(I19-W19+K19)/(F19-K19),(H19-W19+K19)/(F19-K19))</f>
        <v>-0.89436619718309862</v>
      </c>
      <c r="AR19" s="888">
        <f>IF(ISNUMBER((Datos!P19-Datos!Q19)/(Datos!R19-Datos!P19+Datos!Q19)),(Datos!P19-Datos!Q19)/(Datos!R19-Datos!P19+Datos!Q19)," - ")</f>
        <v>2.0408163265306121E-2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162.81277591147446</v>
      </c>
      <c r="G21" s="252">
        <f>IF(ISNUMBER(STDEV(G8:G18)),STDEV(G8:G18),"-")</f>
        <v>157.89300174485251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128.68877184898454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31.979159880563884</v>
      </c>
      <c r="AJ21" s="251">
        <f t="shared" si="18"/>
        <v>0</v>
      </c>
      <c r="AK21" s="253">
        <f t="shared" si="18"/>
        <v>0</v>
      </c>
      <c r="AL21" s="248">
        <f t="shared" si="18"/>
        <v>0.16760845165191302</v>
      </c>
      <c r="AM21" s="249">
        <f t="shared" si="18"/>
        <v>8.1953636230292268</v>
      </c>
      <c r="AN21" s="249">
        <f t="shared" si="18"/>
        <v>0.20938831518879972</v>
      </c>
      <c r="AO21" s="250">
        <f t="shared" si="18"/>
        <v>2.7317878743430755</v>
      </c>
      <c r="AP21" s="290" t="str">
        <f t="shared" si="18"/>
        <v>-</v>
      </c>
      <c r="AQ21" s="291">
        <f t="shared" si="18"/>
        <v>7.4958316026842484E-2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Q8+TBLRlgJfvzjps33MlnNjuCRfTOyZQGg32uqquont5ZrYccrd5WS8h2buLVK3HEUcWEI479p362Ypq/p4Bg==" saltValue="NQ08/kpp/CPSNGprIdQD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 VICENTE DE LA BARQUERA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-0.88888888888888884</v>
      </c>
      <c r="E10" s="347">
        <f>IF(ISNUMBER((Datos!J10-Datos!T10)/Datos!T10),(Datos!J10-Datos!T10)/Datos!T10," - ")</f>
        <v>-1</v>
      </c>
      <c r="F10" s="347">
        <f>IF(ISNUMBER((Datos!K10-Datos!U10)/Datos!U10),(Datos!K10-Datos!U10)/Datos!U10," - ")</f>
        <v>0</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-0.17857142857142858</v>
      </c>
      <c r="I12" s="349">
        <f>IF(ISNUMBER((Tasas!C12-Datos!BE12)/Datos!BE12),(Tasas!C12-Datos!BE12)/Datos!BE12," - ")</f>
        <v>0.14830907054871209</v>
      </c>
      <c r="J12" s="348">
        <f>IF(ISNUMBER((Tasas!D12-Datos!BF12)/Datos!BF12),(Tasas!D12-Datos!BF12)/Datos!BF12," - ")</f>
        <v>1.8382978723404253</v>
      </c>
      <c r="K12" s="350">
        <f>IF(ISNUMBER((Tasas!E12-Datos!BG12)/Datos!BG12),(Tasas!E12-Datos!BG12)/Datos!BG12," - ")</f>
        <v>0.12535019307942746</v>
      </c>
      <c r="M12" t="e">
        <f>IF(Monitorios="SI",Datos!CE12,0)</f>
        <v>#REF!</v>
      </c>
      <c r="N12" t="e">
        <f>IF(Monitorios="SI",Datos!CF12,0)</f>
        <v>#REF!</v>
      </c>
      <c r="O12" t="e">
        <f>IF(Monitorios="SI",Datos!CG12,0)</f>
        <v>#REF!</v>
      </c>
      <c r="P12" t="e">
        <f>IF(Monitorios="SI",Datos!CH12,0)</f>
        <v>#REF!</v>
      </c>
      <c r="Q12">
        <f>IF(J_V="SI",0,Datos!AG12)</f>
        <v>9</v>
      </c>
      <c r="R12">
        <f>IF(J_V="SI",0,Datos!AH12)</f>
        <v>12</v>
      </c>
      <c r="S12">
        <f>IF(J_V="SI",0,Datos!AI12)</f>
        <v>15</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-0.17857142857142858</v>
      </c>
      <c r="I13" s="356">
        <f>IF(ISNUMBER((Tasas!C13-Datos!BE13)/Datos!BE13),(Tasas!C13-Datos!BE13)/Datos!BE13," - ")</f>
        <v>0.13601315924745538</v>
      </c>
      <c r="J13" s="354">
        <f>IF(ISNUMBER((Tasas!D13-Datos!BF13)/Datos!BF13),(Tasas!D13-Datos!BF13)/Datos!BF13," - ")</f>
        <v>1.8345070422535212</v>
      </c>
      <c r="K13" s="357">
        <f>IF(ISNUMBER((Tasas!E13-Datos!BG13)/Datos!BG13),(Tasas!E13-Datos!BG13)/Datos!BG13," - ")</f>
        <v>0.11502347417840364</v>
      </c>
      <c r="M13" t="e">
        <f>IF(Monitorios="SI",Datos!CE13,0)</f>
        <v>#REF!</v>
      </c>
      <c r="N13" t="e">
        <f>IF(Monitorios="SI",Datos!CF13,0)</f>
        <v>#REF!</v>
      </c>
      <c r="O13" t="e">
        <f>IF(Monitorios="SI",Datos!CG13,0)</f>
        <v>#REF!</v>
      </c>
      <c r="P13" t="e">
        <f>IF(Monitorios="SI",Datos!CH13,0)</f>
        <v>#REF!</v>
      </c>
      <c r="Q13">
        <f>IF(J_V="SI",0,Datos!AG13)</f>
        <v>9</v>
      </c>
      <c r="R13">
        <f>IF(J_V="SI",0,Datos!AH13)</f>
        <v>12</v>
      </c>
      <c r="S13">
        <f>IF(J_V="SI",0,Datos!AI13)</f>
        <v>15</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-0.21606648199445982</v>
      </c>
      <c r="E16" s="347">
        <f>IF(ISNUMBER(
   IF(D_I="SI",(Datos!J16-Datos!T16)/Datos!T16,(Datos!J16+Datos!AD16-(Datos!T16+Datos!AL16))/(Datos!T16+Datos!AL16))
     ),IF(D_I="SI",(Datos!J16-Datos!T16)/Datos!T16,(Datos!J16+Datos!AD16-(Datos!T16+Datos!AL16))/(Datos!T16+Datos!AL16))," - ")</f>
        <v>0.18777292576419213</v>
      </c>
      <c r="F16" s="347">
        <f>IF(ISNUMBER(
   IF(D_I="SI",(Datos!K16-Datos!U16)/Datos!U16,(Datos!K16+Datos!AE16-(Datos!U16+Datos!AM16))/(Datos!U16+Datos!AM16))
     ),IF(D_I="SI",(Datos!K16-Datos!U16)/Datos!U16,(Datos!K16+Datos!AE16-(Datos!U16+Datos!AM16))/(Datos!U16+Datos!AM16))," - ")</f>
        <v>-0.1183206106870229</v>
      </c>
      <c r="G16" s="348">
        <f>IF(ISNUMBER(
   IF(D_I="SI",(Datos!L16-Datos!V16)/Datos!V16,(Datos!L16+Datos!AF16-(Datos!V16+Datos!AN16))/(Datos!V16+Datos!AN16))
     ),IF(D_I="SI",(Datos!L16-Datos!V16)/Datos!V16,(Datos!L16+Datos!AF16-(Datos!V16+Datos!AN16))/(Datos!V16+Datos!AN16))," - ")</f>
        <v>-1.2195121951219513E-2</v>
      </c>
      <c r="H16" s="229">
        <f>IF(ISNUMBER((Datos!M16-Datos!W16)/Datos!W16),(Datos!M16-Datos!W16)/Datos!W16," - ")</f>
        <v>-0.26760563380281688</v>
      </c>
      <c r="I16" s="349">
        <f>IF(ISNUMBER((Tasas!C16-Datos!BE16)/Datos!BE16),(Tasas!C16-Datos!BE16)/Datos!BE16," - ")</f>
        <v>0.12036743744060811</v>
      </c>
      <c r="J16" s="348">
        <f>IF(ISNUMBER((Tasas!D16-Datos!BF16)/Datos!BF16),(Tasas!D16-Datos!BF16)/Datos!BF16," - ")</f>
        <v>-0.16931894396683128</v>
      </c>
      <c r="K16" s="350">
        <f>IF(ISNUMBER((Tasas!E16-Datos!BG16)/Datos!BG16),(Tasas!E16-Datos!BG16)/Datos!BG16," - ")</f>
        <v>6.6916134712744962E-2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0.36842105263157893</v>
      </c>
      <c r="F17" s="347">
        <f>IF(ISNUMBER(
   IF(D_I="SI",(Datos!K17-Datos!U17)/Datos!U17,(Datos!K17+Datos!AE17-(Datos!U17+Datos!AM17))/(Datos!U17+Datos!AM17))
     ),IF(D_I="SI",(Datos!K17-Datos!U17)/Datos!U17,(Datos!K17+Datos!AE17-(Datos!U17+Datos!AM17))/(Datos!U17+Datos!AM17))," - ")</f>
        <v>0.22222222222222221</v>
      </c>
      <c r="G17" s="348">
        <f>IF(ISNUMBER(
   IF(D_I="SI",(Datos!L17-Datos!V17)/Datos!V17,(Datos!L17+Datos!AF17-(Datos!V17+Datos!AN17))/(Datos!V17+Datos!AN17))
     ),IF(D_I="SI",(Datos!L17-Datos!V17)/Datos!V17,(Datos!L17+Datos!AF17-(Datos!V17+Datos!AN17))/(Datos!V17+Datos!AN17))," - ")</f>
        <v>0.28000000000000003</v>
      </c>
      <c r="H17" s="229">
        <f>IF(ISNUMBER((Datos!M17-Datos!W17)/Datos!W17),(Datos!M17-Datos!W17)/Datos!W17," - ")</f>
        <v>0</v>
      </c>
      <c r="I17" s="349">
        <f>IF(ISNUMBER((Tasas!C17-Datos!BE17)/Datos!BE17),(Tasas!C17-Datos!BE17)/Datos!BE17," - ")</f>
        <v>4.7272727272727341E-2</v>
      </c>
      <c r="J17" s="348">
        <f>IF(ISNUMBER((Tasas!D17-Datos!BF17)/Datos!BF17),(Tasas!D17-Datos!BF17)/Datos!BF17," - ")</f>
        <v>-0.18181818181818174</v>
      </c>
      <c r="K17" s="350">
        <f>IF(ISNUMBER((Tasas!E17-Datos!BG17)/Datos!BG17),(Tasas!E17-Datos!BG17)/Datos!BG17," - ")</f>
        <v>2.7484143763213568E-2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-0.19220779220779222</v>
      </c>
      <c r="E18" s="353">
        <f>IF(ISNUMBER(
   IF(D_I="SI",(Datos!J18-Datos!T18)/Datos!T18,(Datos!J18+Datos!AD18-(Datos!T18+Datos!AL18))/(Datos!T18+Datos!AL18))
     ),IF(D_I="SI",(Datos!J18-Datos!T18)/Datos!T18,(Datos!J18+Datos!AD18-(Datos!T18+Datos!AL18))/(Datos!T18+Datos!AL18))," - ")</f>
        <v>0.20161290322580644</v>
      </c>
      <c r="F18" s="353">
        <f>IF(ISNUMBER(
   IF(D_I="SI",(Datos!K18-Datos!U18)/Datos!U18,(Datos!K18+Datos!AE18-(Datos!U18+Datos!AM18))/(Datos!U18+Datos!AM18))
     ),IF(D_I="SI",(Datos!K18-Datos!U18)/Datos!U18,(Datos!K18+Datos!AE18-(Datos!U18+Datos!AM18))/(Datos!U18+Datos!AM18))," - ")</f>
        <v>-9.6428571428571433E-2</v>
      </c>
      <c r="G18" s="354">
        <f>IF(ISNUMBER(
   IF(D_I="SI",(Datos!L18-Datos!V18)/Datos!V18,(Datos!L18+Datos!AF18-(Datos!V18+Datos!AN18))/(Datos!V18+Datos!AN18))
     ),IF(D_I="SI",(Datos!L18-Datos!V18)/Datos!V18,(Datos!L18+Datos!AF18-(Datos!V18+Datos!AN18))/(Datos!V18+Datos!AN18))," - ")</f>
        <v>8.4985835694051E-3</v>
      </c>
      <c r="H18" s="355">
        <f>IF(ISNUMBER((Datos!M18-Datos!W18)/Datos!W18),(Datos!M18-Datos!W18)/Datos!W18," - ")</f>
        <v>-0.2638888888888889</v>
      </c>
      <c r="I18" s="356">
        <f>IF(ISNUMBER((Tasas!C18-Datos!BE18)/Datos!BE18),(Tasas!C18-Datos!BE18)/Datos!BE18," - ")</f>
        <v>0.11612491462226662</v>
      </c>
      <c r="J18" s="354">
        <f>IF(ISNUMBER((Tasas!D18-Datos!BF18)/Datos!BF18),(Tasas!D18-Datos!BF18)/Datos!BF18," - ")</f>
        <v>-0.18533157663592434</v>
      </c>
      <c r="K18" s="357">
        <f>IF(ISNUMBER((Tasas!E18-Datos!BG18)/Datos!BG18),(Tasas!E18-Datos!BG18)/Datos!BG18," - ")</f>
        <v>6.4758443699304988E-2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-0.14126097366320831</v>
      </c>
      <c r="E19" s="362">
        <f>IF(ISNUMBER(
   IF(J_V="SI",(Datos!J19-Datos!T19)/Datos!T19,(Datos!J19+Datos!Z19-(Datos!T19+Datos!AH19))/(Datos!T19+Datos!AH19))
     ),IF(J_V="SI",(Datos!J19-Datos!T19)/Datos!T19,(Datos!J19+Datos!Z19-(Datos!T19+Datos!AH19))/(Datos!T19+Datos!AH19))," - ")</f>
        <v>8.7548638132295714E-2</v>
      </c>
      <c r="F19" s="362">
        <f>IF(ISNUMBER(
   IF(J_V="SI",(Datos!K19-Datos!U19)/Datos!U19,(Datos!K19+Datos!AA19-(Datos!U19+Datos!AI19))/(Datos!U19+Datos!AI19))
     ),IF(J_V="SI",(Datos!K19-Datos!U19)/Datos!U19,(Datos!K19+Datos!AA19-(Datos!U19+Datos!AI19))/(Datos!U19+Datos!AI19))," - ")</f>
        <v>-0.13186813186813187</v>
      </c>
      <c r="G19" s="363">
        <f>IF(ISNUMBER(
   IF(J_V="SI",(Datos!L19-Datos!V19)/Datos!V19,(Datos!L19+Datos!AB19-(Datos!V19+Datos!AJ19))/(Datos!V19+Datos!AJ19))
     ),IF(J_V="SI",(Datos!L19-Datos!V19)/Datos!V19,(Datos!L19+Datos!AB19-(Datos!V19+Datos!AJ19))/(Datos!V19+Datos!AJ19))," - ")</f>
        <v>-5.4878048780487805E-2</v>
      </c>
      <c r="H19" s="364">
        <f>IF(ISNUMBER((Datos!M19-Datos!W19)/Datos!W19),(Datos!M19-Datos!W19)/Datos!W19," - ")</f>
        <v>-0.21794871794871795</v>
      </c>
      <c r="I19" s="361">
        <f>IF(ISNUMBER((Tasas!C19-Datos!BE19)/Datos!BE19),(Tasas!C19-Datos!BE19)/Datos!BE19," - ")</f>
        <v>8.8684779252855783E-2</v>
      </c>
      <c r="J19" s="362">
        <f>IF(ISNUMBER((Tasas!D19-Datos!BF19)/Datos!BF19),(Tasas!D19-Datos!BF19)/Datos!BF19," - ")</f>
        <v>0.37776123107470821</v>
      </c>
      <c r="K19" s="363">
        <f>IF(ISNUMBER((Tasas!E19-Datos!BG19)/Datos!BG19),(Tasas!E19-Datos!BG19)/Datos!BG19," - ")</f>
        <v>6.5848574068900267E-2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0.4404634727525672</v>
      </c>
      <c r="E21" s="277">
        <f t="shared" si="1"/>
        <v>0.63165816962760213</v>
      </c>
      <c r="F21" s="277">
        <f t="shared" si="1"/>
        <v>0.15563524747346388</v>
      </c>
      <c r="G21" s="278">
        <f t="shared" si="1"/>
        <v>0.56204589877981681</v>
      </c>
      <c r="H21" s="284">
        <f t="shared" si="1"/>
        <v>0.10850155823564692</v>
      </c>
      <c r="I21" s="276">
        <f t="shared" si="1"/>
        <v>0.45598503433245258</v>
      </c>
      <c r="J21" s="277">
        <f t="shared" si="1"/>
        <v>1.1038012431701212</v>
      </c>
      <c r="K21" s="278">
        <f t="shared" si="1"/>
        <v>0.40165289382409342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4Zs5kPpp3OfOio6sOyKoN88R+KtV/Hqwk3BTPiT3+OCCzaMvwclV1ZTq+O3R6uVjmI+wTR2zy9vj7Vw8NsgvQ==" saltValue="W8HFkO+W7KK+1+gkMPsO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